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externalReferences>
    <externalReference r:id="rId8"/>
  </externalReferences>
  <definedNames>
    <definedName name="_xlnm.Print_Area" localSheetId="0">'Додаток 1'!$A$1:$M$46</definedName>
    <definedName name="_xlnm.Print_Area" localSheetId="1">'Додаток 2'!$A$1:$L$43</definedName>
    <definedName name="_xlnm.Print_Area" localSheetId="2">'Додаток 3'!$A$1:$J$43</definedName>
    <definedName name="_xlnm.Print_Area" localSheetId="3">'Додаток 4'!$A$1:$L$43</definedName>
    <definedName name="_xlnm.Print_Area" localSheetId="4">'Додаток 5'!$A$1:$E$24</definedName>
  </definedNames>
  <calcPr fullCalcOnLoad="1"/>
</workbook>
</file>

<file path=xl/sharedStrings.xml><?xml version="1.0" encoding="utf-8"?>
<sst xmlns="http://schemas.openxmlformats.org/spreadsheetml/2006/main" count="351" uniqueCount="75">
  <si>
    <t>Структура скоригованих тарифів на теплову енергію для бюджетних установ,інших споживачів та релігійних організацій  ВОВЧАНСЬКОГО  ПТМ на 2021-2022 рік</t>
  </si>
  <si>
    <t>№ з/п</t>
  </si>
  <si>
    <t xml:space="preserve"> Найменування показників</t>
  </si>
  <si>
    <t>Од.вим.</t>
  </si>
  <si>
    <t>Для населення</t>
  </si>
  <si>
    <t>Для потреб бюджетних установ</t>
  </si>
  <si>
    <t>Для потреб інших споживачів</t>
  </si>
  <si>
    <t>Для потреб релігійних організацій</t>
  </si>
  <si>
    <t>тис.грн на рік</t>
  </si>
  <si>
    <t>грн/Гкал</t>
  </si>
  <si>
    <t>Корисний відпуск</t>
  </si>
  <si>
    <t>Гкал.</t>
  </si>
  <si>
    <t>Усього операційних витрат, в т.ч.</t>
  </si>
  <si>
    <t>т.грн.</t>
  </si>
  <si>
    <t xml:space="preserve">                                                                                     прямі витрати, у тому числі:</t>
  </si>
  <si>
    <t>матеріальні витрати, у тому числі:</t>
  </si>
  <si>
    <t>3,1.1</t>
  </si>
  <si>
    <t>паливо</t>
  </si>
  <si>
    <t>3,1,2</t>
  </si>
  <si>
    <t>електроенергія для технологічних потреб</t>
  </si>
  <si>
    <t>3,1,3</t>
  </si>
  <si>
    <t xml:space="preserve">водопостачання та стоки  </t>
  </si>
  <si>
    <t>3,1,4</t>
  </si>
  <si>
    <t xml:space="preserve">матеріали та інші матеріальні ресурси </t>
  </si>
  <si>
    <t>3,2,1</t>
  </si>
  <si>
    <t>витрати на оплату праці </t>
  </si>
  <si>
    <t>3,2,2</t>
  </si>
  <si>
    <t>внески на соц.заходи  </t>
  </si>
  <si>
    <t>3,2,3</t>
  </si>
  <si>
    <t>аморт. відрахування</t>
  </si>
  <si>
    <t>3,2,4</t>
  </si>
  <si>
    <t>інші прямі витрати</t>
  </si>
  <si>
    <t xml:space="preserve">Загальновиробничі витрати, у тому числі: </t>
  </si>
  <si>
    <t xml:space="preserve"> матеріальні витрати </t>
  </si>
  <si>
    <t>внески на соц. заходи </t>
  </si>
  <si>
    <t xml:space="preserve">інші витрати </t>
  </si>
  <si>
    <t>Адміністративні витрати, у тому числі:  </t>
  </si>
  <si>
    <t>матеріальні витрати </t>
  </si>
  <si>
    <t>інші витрати </t>
  </si>
  <si>
    <t>Розрахунковий прибуток</t>
  </si>
  <si>
    <t>Вартість  теплової  енергії</t>
  </si>
  <si>
    <t>Тариф на теплову  енергію, без ПДВ</t>
  </si>
  <si>
    <t>Додаток 1</t>
  </si>
  <si>
    <t>до рішення виконавчого комітету</t>
  </si>
  <si>
    <t>Вовчанської міської ради</t>
  </si>
  <si>
    <t xml:space="preserve">  Структура скоригованих тарифів на виробництво теплової  енергії для бюджетних установ, інших споживачів та релігійних організацій ВОВЧАНСЬКОГО  ПТМ на 2021-2022 рік.</t>
  </si>
  <si>
    <t>Вартість виробництва теплової  енергії</t>
  </si>
  <si>
    <t>Тариф на виробництво теплової  енергії, без ПДВ</t>
  </si>
  <si>
    <t>Додаток 2</t>
  </si>
  <si>
    <t>Вартість транспортування теплової  енергії</t>
  </si>
  <si>
    <t>Тариф на  транспортування теплової  енергії, без ПДВ</t>
  </si>
  <si>
    <t>Додаток 3</t>
  </si>
  <si>
    <t>Структура скоригованих тарифів на транспортування  теплової  енергії для бюджетних установ, інших споживачів та релігійних організацій  ВОВЧАНСЬКОГО  ПТМ на 2021-2022 рік</t>
  </si>
  <si>
    <t>Од. вим.</t>
  </si>
  <si>
    <t>Вартість постачання теплової  енергії</t>
  </si>
  <si>
    <t>Тариф на постачання теплової  енергії, без ПДВ</t>
  </si>
  <si>
    <t>Структура скоригованих тарифів на постачання  теплової  енергії для бюджетних установ, інших споживачів та релігійних організацій ВОВЧАНСЬКОГО  ПТМ  на 2021-2022 рік</t>
  </si>
  <si>
    <t>Додаток 4</t>
  </si>
  <si>
    <t>Структура скоригованих тарифів на послугу з постачання теплової енергії для бюджетних установ,інших споживачів та релігійних організацій</t>
  </si>
  <si>
    <t>Вовчанського ПТМ на 2021-2022 роки</t>
  </si>
  <si>
    <t>Найменування показників</t>
  </si>
  <si>
    <t>Послуга з постачання теплової енергії  для бюджетних організацій,
грн/Гкал</t>
  </si>
  <si>
    <t xml:space="preserve">Послуга з постачання теплової енергії  для інших споживачів (крім населення), грн/Гкал
</t>
  </si>
  <si>
    <t xml:space="preserve">Послуга з постачання теплової енергії  для релігійних організацій, грн/Гкал
</t>
  </si>
  <si>
    <t>Тариф на теплову енергію, грн/Гкал   ( без ПДВ)</t>
  </si>
  <si>
    <t>Податок на додану вартість</t>
  </si>
  <si>
    <t>Плановий  тариф на послугу з постачання теплової енергії,  грн/Гкал з ПДВ</t>
  </si>
  <si>
    <t>Фактичний середній показник витрат теплової енергії на опалення 1м2 загальної площі  1-2-ох поверхових будівель  за п*ять останніх років - Гкал/м2 на рік</t>
  </si>
  <si>
    <t>Планова тривалість опалювального періоду, діб</t>
  </si>
  <si>
    <t>Кількість теплової енергії на 1м2 опалювальної площі, (для абонентів житлових будинків без будинкових та квартирних приладів обліку теплової енергії, Гкал/м2 на місяць)</t>
  </si>
  <si>
    <t>Додаток 5</t>
  </si>
  <si>
    <t>від 28.10.2021 р. № 251.1</t>
  </si>
  <si>
    <t>Керуючий справами (секретар) виконавчого комітету</t>
  </si>
  <si>
    <t>Л. ДУДКА</t>
  </si>
  <si>
    <t>Керуючий справами (секретр) виконавчого комітету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</si>
</sst>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33" borderId="0" xfId="52" applyFont="1" applyFill="1" applyBorder="1" applyAlignment="1" applyProtection="1">
      <alignment horizontal="center" vertical="center" wrapText="1"/>
      <protection hidden="1"/>
    </xf>
    <xf numFmtId="0" fontId="3" fillId="33" borderId="12" xfId="52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>
      <alignment/>
    </xf>
    <xf numFmtId="0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1" xfId="0" applyNumberFormat="1" applyFill="1" applyBorder="1" applyAlignment="1">
      <alignment/>
    </xf>
    <xf numFmtId="0" fontId="8" fillId="0" borderId="16" xfId="0" applyFont="1" applyFill="1" applyBorder="1" applyAlignment="1" applyProtection="1">
      <alignment wrapText="1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1" fillId="0" borderId="16" xfId="0" applyFont="1" applyFill="1" applyBorder="1" applyAlignment="1" applyProtection="1">
      <alignment wrapText="1"/>
      <protection/>
    </xf>
    <xf numFmtId="0" fontId="12" fillId="0" borderId="16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 applyProtection="1">
      <alignment wrapText="1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0" fillId="0" borderId="1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top" wrapText="1"/>
      <protection/>
    </xf>
    <xf numFmtId="1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left" wrapText="1"/>
      <protection/>
    </xf>
    <xf numFmtId="1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10" fillId="0" borderId="16" xfId="0" applyNumberFormat="1" applyFont="1" applyBorder="1" applyAlignment="1">
      <alignment/>
    </xf>
    <xf numFmtId="0" fontId="14" fillId="33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33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6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17" fillId="0" borderId="16" xfId="0" applyNumberFormat="1" applyFont="1" applyFill="1" applyBorder="1" applyAlignment="1">
      <alignment/>
    </xf>
    <xf numFmtId="2" fontId="16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2" fontId="10" fillId="33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0" borderId="16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0" fillId="33" borderId="11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16" fillId="33" borderId="16" xfId="0" applyFont="1" applyFill="1" applyBorder="1" applyAlignment="1">
      <alignment/>
    </xf>
    <xf numFmtId="0" fontId="9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16" xfId="0" applyNumberFormat="1" applyFill="1" applyBorder="1" applyAlignment="1">
      <alignment/>
    </xf>
    <xf numFmtId="0" fontId="20" fillId="0" borderId="16" xfId="0" applyFont="1" applyFill="1" applyBorder="1" applyAlignment="1" applyProtection="1">
      <alignment wrapText="1"/>
      <protection/>
    </xf>
    <xf numFmtId="2" fontId="2" fillId="0" borderId="16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0" fillId="0" borderId="16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>
      <alignment/>
    </xf>
    <xf numFmtId="0" fontId="13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Alignment="1">
      <alignment/>
    </xf>
    <xf numFmtId="0" fontId="21" fillId="33" borderId="0" xfId="0" applyFont="1" applyFill="1" applyBorder="1" applyAlignment="1" applyProtection="1">
      <alignment wrapText="1"/>
      <protection/>
    </xf>
    <xf numFmtId="0" fontId="55" fillId="0" borderId="0" xfId="0" applyFont="1" applyAlignment="1">
      <alignment/>
    </xf>
    <xf numFmtId="0" fontId="0" fillId="35" borderId="19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56;\Downloads\&#1056;&#1086;&#1079;&#1087;&#1086;&#1076;&#1110;&#1083;%20&#1087;&#1083;&#1072;&#1085;&#1086;&#1074;&#1086;&#1111;%20&#1089;&#1086;&#1073;&#1110;&#1074;&#1072;&#1088;&#1090;&#1086;&#1089;&#1090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.-екон.пок.-газ в тарифі"/>
      <sheetName val="ТЕП в тарифі на альт.паливі"/>
      <sheetName val="т.е.показ.на 2020-2021"/>
      <sheetName val="в тариф на 2020-2021р"/>
      <sheetName val="розрах.-формули"/>
      <sheetName val="теп.енергія"/>
      <sheetName val="виробництво"/>
      <sheetName val="транспорт."/>
      <sheetName val="постачання"/>
      <sheetName val="послуга"/>
      <sheetName val="додаток 1"/>
      <sheetName val="додаток 2"/>
      <sheetName val="додаток 3"/>
      <sheetName val="додаток 4"/>
      <sheetName val="додаток 5"/>
    </sheetNames>
    <sheetDataSet>
      <sheetData sheetId="3">
        <row r="13">
          <cell r="E13">
            <v>10023.772</v>
          </cell>
        </row>
        <row r="14">
          <cell r="T14">
            <v>366.53999999999996</v>
          </cell>
        </row>
        <row r="15">
          <cell r="J15">
            <v>14463.625000000002</v>
          </cell>
          <cell r="T15">
            <v>207.54999999999998</v>
          </cell>
        </row>
        <row r="16">
          <cell r="T16">
            <v>11.95</v>
          </cell>
        </row>
        <row r="17">
          <cell r="J17">
            <v>12782.959</v>
          </cell>
          <cell r="K17">
            <v>23475.96</v>
          </cell>
          <cell r="L17">
            <v>2616.29</v>
          </cell>
          <cell r="M17">
            <v>86.776</v>
          </cell>
          <cell r="T17">
            <v>0</v>
          </cell>
        </row>
        <row r="18">
          <cell r="J18">
            <v>319.546</v>
          </cell>
          <cell r="K18">
            <v>294.82</v>
          </cell>
          <cell r="L18">
            <v>22.42</v>
          </cell>
          <cell r="M18">
            <v>1.09</v>
          </cell>
          <cell r="T18">
            <v>0</v>
          </cell>
        </row>
        <row r="19">
          <cell r="J19">
            <v>106.1</v>
          </cell>
          <cell r="K19">
            <v>97.9</v>
          </cell>
          <cell r="L19">
            <v>7.42</v>
          </cell>
          <cell r="M19">
            <v>0.36</v>
          </cell>
          <cell r="T19">
            <v>0</v>
          </cell>
        </row>
        <row r="20">
          <cell r="J20">
            <v>76.15</v>
          </cell>
          <cell r="K20">
            <v>682.22</v>
          </cell>
          <cell r="L20">
            <v>51.72</v>
          </cell>
          <cell r="M20">
            <v>2.52</v>
          </cell>
          <cell r="T20">
            <v>11.95</v>
          </cell>
        </row>
        <row r="21">
          <cell r="E21">
            <v>1379.85</v>
          </cell>
          <cell r="J21">
            <v>857.22</v>
          </cell>
          <cell r="K21">
            <v>7682.75</v>
          </cell>
          <cell r="L21">
            <v>579.41</v>
          </cell>
          <cell r="M21">
            <v>28.4</v>
          </cell>
          <cell r="T21">
            <v>128.98</v>
          </cell>
        </row>
        <row r="22">
          <cell r="J22">
            <v>188.59</v>
          </cell>
          <cell r="K22">
            <v>1689.59</v>
          </cell>
          <cell r="L22">
            <v>128.08</v>
          </cell>
          <cell r="M22">
            <v>6.24</v>
          </cell>
          <cell r="T22">
            <v>28.38</v>
          </cell>
        </row>
        <row r="23">
          <cell r="J23">
            <v>42.54</v>
          </cell>
          <cell r="K23">
            <v>381.16</v>
          </cell>
          <cell r="L23">
            <v>28.9</v>
          </cell>
          <cell r="M23">
            <v>1.41</v>
          </cell>
          <cell r="T23">
            <v>0.65</v>
          </cell>
        </row>
        <row r="24">
          <cell r="J24">
            <v>90.52</v>
          </cell>
          <cell r="K24">
            <v>810.94</v>
          </cell>
          <cell r="L24">
            <v>61.48</v>
          </cell>
          <cell r="M24">
            <v>3</v>
          </cell>
          <cell r="T24">
            <v>37.59</v>
          </cell>
        </row>
        <row r="25">
          <cell r="J25">
            <v>1381.81</v>
          </cell>
          <cell r="L25">
            <v>96.67</v>
          </cell>
          <cell r="T25">
            <v>71.03</v>
          </cell>
        </row>
        <row r="26">
          <cell r="J26">
            <v>157.09</v>
          </cell>
          <cell r="K26">
            <v>144.94</v>
          </cell>
          <cell r="L26">
            <v>10.99</v>
          </cell>
          <cell r="M26">
            <v>0.54</v>
          </cell>
          <cell r="T26">
            <v>3.36</v>
          </cell>
        </row>
        <row r="27">
          <cell r="J27">
            <v>890.61</v>
          </cell>
          <cell r="K27">
            <v>821.75</v>
          </cell>
          <cell r="L27">
            <v>62.3</v>
          </cell>
          <cell r="M27">
            <v>3.04</v>
          </cell>
          <cell r="T27">
            <v>53.05</v>
          </cell>
        </row>
        <row r="28">
          <cell r="J28">
            <v>195.93</v>
          </cell>
          <cell r="K28">
            <v>180.78</v>
          </cell>
          <cell r="L28">
            <v>13.71</v>
          </cell>
          <cell r="M28">
            <v>0.67</v>
          </cell>
          <cell r="T28">
            <v>11.67</v>
          </cell>
        </row>
        <row r="29">
          <cell r="J29">
            <v>97.34</v>
          </cell>
          <cell r="K29">
            <v>89.81</v>
          </cell>
          <cell r="L29">
            <v>6.81</v>
          </cell>
          <cell r="M29">
            <v>0.32</v>
          </cell>
          <cell r="T29">
            <v>2.08</v>
          </cell>
        </row>
        <row r="30">
          <cell r="J30">
            <v>40.84</v>
          </cell>
          <cell r="K30">
            <v>37.68</v>
          </cell>
          <cell r="L30">
            <v>2.86</v>
          </cell>
          <cell r="M30">
            <v>0.14</v>
          </cell>
          <cell r="T30">
            <v>0.87</v>
          </cell>
        </row>
        <row r="31">
          <cell r="J31">
            <v>1559.9399999999998</v>
          </cell>
          <cell r="L31">
            <v>109.10999999999999</v>
          </cell>
          <cell r="T31">
            <v>87.96</v>
          </cell>
        </row>
        <row r="32">
          <cell r="J32">
            <v>41.36</v>
          </cell>
          <cell r="K32">
            <v>38.16</v>
          </cell>
          <cell r="L32">
            <v>2.89</v>
          </cell>
          <cell r="M32">
            <v>0.14</v>
          </cell>
          <cell r="T32">
            <v>0.88</v>
          </cell>
        </row>
        <row r="33">
          <cell r="J33">
            <v>1172.17</v>
          </cell>
          <cell r="K33">
            <v>1081.54</v>
          </cell>
          <cell r="L33">
            <v>81.99</v>
          </cell>
          <cell r="M33">
            <v>4</v>
          </cell>
          <cell r="T33">
            <v>69.82</v>
          </cell>
        </row>
        <row r="34">
          <cell r="J34">
            <v>257.88</v>
          </cell>
          <cell r="K34">
            <v>237.94</v>
          </cell>
          <cell r="L34">
            <v>18.04</v>
          </cell>
          <cell r="M34">
            <v>0.88</v>
          </cell>
          <cell r="T34">
            <v>15.36</v>
          </cell>
        </row>
        <row r="35">
          <cell r="J35">
            <v>3.87</v>
          </cell>
          <cell r="K35">
            <v>3.57</v>
          </cell>
          <cell r="L35">
            <v>0.27</v>
          </cell>
          <cell r="M35">
            <v>0.01</v>
          </cell>
          <cell r="T35">
            <v>0.09</v>
          </cell>
        </row>
        <row r="36">
          <cell r="J36">
            <v>84.66</v>
          </cell>
          <cell r="K36">
            <v>78.12</v>
          </cell>
          <cell r="L36">
            <v>5.92</v>
          </cell>
          <cell r="M36">
            <v>0.29</v>
          </cell>
          <cell r="T36">
            <v>1.81</v>
          </cell>
        </row>
        <row r="37">
          <cell r="J37">
            <v>696.22</v>
          </cell>
          <cell r="K37">
            <v>1513.19</v>
          </cell>
          <cell r="L37">
            <v>148.06</v>
          </cell>
          <cell r="M37">
            <v>5.59</v>
          </cell>
          <cell r="T37">
            <v>14.66</v>
          </cell>
        </row>
      </sheetData>
      <sheetData sheetId="6">
        <row r="13">
          <cell r="F13">
            <v>17405.375000000004</v>
          </cell>
          <cell r="G13">
            <v>1736.4099999999996</v>
          </cell>
        </row>
        <row r="14">
          <cell r="F14">
            <v>14463.625000000002</v>
          </cell>
          <cell r="G14">
            <v>1442.9199999999998</v>
          </cell>
        </row>
        <row r="15">
          <cell r="F15">
            <v>13284.755000000001</v>
          </cell>
          <cell r="G15">
            <v>1325.32</v>
          </cell>
        </row>
        <row r="16">
          <cell r="F16">
            <v>12782.959</v>
          </cell>
          <cell r="G16">
            <v>1275.26</v>
          </cell>
        </row>
        <row r="17">
          <cell r="F17">
            <v>319.546</v>
          </cell>
          <cell r="G17">
            <v>31.88</v>
          </cell>
        </row>
        <row r="18">
          <cell r="F18">
            <v>106.1</v>
          </cell>
          <cell r="G18">
            <v>10.58</v>
          </cell>
        </row>
        <row r="19">
          <cell r="F19">
            <v>76.15</v>
          </cell>
          <cell r="G19">
            <v>7.6</v>
          </cell>
        </row>
        <row r="20">
          <cell r="G20">
            <v>85.52</v>
          </cell>
        </row>
        <row r="21">
          <cell r="F21">
            <v>188.59</v>
          </cell>
          <cell r="G21">
            <v>18.81</v>
          </cell>
        </row>
        <row r="22">
          <cell r="F22">
            <v>42.54</v>
          </cell>
          <cell r="G22">
            <v>4.24</v>
          </cell>
        </row>
        <row r="23">
          <cell r="F23">
            <v>90.52</v>
          </cell>
          <cell r="G23">
            <v>9.03</v>
          </cell>
        </row>
        <row r="24">
          <cell r="F24">
            <v>1381.81</v>
          </cell>
          <cell r="G24">
            <v>137.85</v>
          </cell>
        </row>
        <row r="25">
          <cell r="F25">
            <v>157.09</v>
          </cell>
          <cell r="G25">
            <v>15.67</v>
          </cell>
        </row>
        <row r="26">
          <cell r="F26">
            <v>890.61</v>
          </cell>
          <cell r="G26">
            <v>88.85</v>
          </cell>
        </row>
        <row r="27">
          <cell r="F27">
            <v>195.93</v>
          </cell>
          <cell r="G27">
            <v>19.55</v>
          </cell>
        </row>
        <row r="28">
          <cell r="F28">
            <v>97.34</v>
          </cell>
          <cell r="G28">
            <v>9.71</v>
          </cell>
        </row>
        <row r="29">
          <cell r="F29">
            <v>40.84</v>
          </cell>
          <cell r="G29">
            <v>4.07</v>
          </cell>
        </row>
        <row r="30">
          <cell r="F30">
            <v>1559.9399999999998</v>
          </cell>
          <cell r="G30">
            <v>155.63999999999996</v>
          </cell>
        </row>
        <row r="31">
          <cell r="F31">
            <v>41.36</v>
          </cell>
          <cell r="G31">
            <v>4.13</v>
          </cell>
        </row>
        <row r="32">
          <cell r="F32">
            <v>1172.17</v>
          </cell>
          <cell r="G32">
            <v>116.94</v>
          </cell>
        </row>
        <row r="33">
          <cell r="F33">
            <v>257.88</v>
          </cell>
          <cell r="G33">
            <v>25.73</v>
          </cell>
        </row>
        <row r="34">
          <cell r="F34">
            <v>3.87</v>
          </cell>
          <cell r="G34">
            <v>0.39</v>
          </cell>
        </row>
        <row r="35">
          <cell r="F35">
            <v>84.66</v>
          </cell>
          <cell r="G35">
            <v>8.45</v>
          </cell>
        </row>
        <row r="36">
          <cell r="F36">
            <v>696.22</v>
          </cell>
          <cell r="G36">
            <v>69.44999999999999</v>
          </cell>
        </row>
        <row r="37">
          <cell r="F37">
            <v>18101.595</v>
          </cell>
        </row>
        <row r="38">
          <cell r="G38">
            <v>1805.8665939329026</v>
          </cell>
        </row>
      </sheetData>
      <sheetData sheetId="8">
        <row r="13">
          <cell r="F13">
            <v>366.53999999999996</v>
          </cell>
          <cell r="G13">
            <v>36.57</v>
          </cell>
        </row>
        <row r="14">
          <cell r="F14">
            <v>207.54999999999998</v>
          </cell>
          <cell r="G14">
            <v>20.71</v>
          </cell>
        </row>
        <row r="15">
          <cell r="F15">
            <v>11.95</v>
          </cell>
          <cell r="G15">
            <v>1.19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11.95</v>
          </cell>
          <cell r="G19">
            <v>1.19</v>
          </cell>
        </row>
        <row r="20">
          <cell r="G20">
            <v>12.87</v>
          </cell>
        </row>
        <row r="21">
          <cell r="F21">
            <v>28.38</v>
          </cell>
          <cell r="G21">
            <v>2.83</v>
          </cell>
        </row>
        <row r="22">
          <cell r="F22">
            <v>0.65</v>
          </cell>
          <cell r="G22">
            <v>0.06999999999999999</v>
          </cell>
        </row>
        <row r="23">
          <cell r="F23">
            <v>37.59</v>
          </cell>
          <cell r="G23">
            <v>3.75</v>
          </cell>
        </row>
        <row r="24">
          <cell r="F24">
            <v>71.03</v>
          </cell>
          <cell r="G24">
            <v>7.08</v>
          </cell>
        </row>
        <row r="25">
          <cell r="F25">
            <v>3.36</v>
          </cell>
          <cell r="G25">
            <v>0.33</v>
          </cell>
        </row>
        <row r="26">
          <cell r="F26">
            <v>53.05</v>
          </cell>
          <cell r="G26">
            <v>5.29</v>
          </cell>
        </row>
        <row r="27">
          <cell r="F27">
            <v>11.67</v>
          </cell>
          <cell r="G27">
            <v>1.16</v>
          </cell>
        </row>
        <row r="28">
          <cell r="F28">
            <v>2.08</v>
          </cell>
          <cell r="G28">
            <v>0.21</v>
          </cell>
        </row>
        <row r="29">
          <cell r="F29">
            <v>0.87</v>
          </cell>
          <cell r="G29">
            <v>0.09</v>
          </cell>
        </row>
        <row r="30">
          <cell r="F30">
            <v>87.96</v>
          </cell>
          <cell r="G30">
            <v>8.78</v>
          </cell>
        </row>
        <row r="31">
          <cell r="F31">
            <v>0.88</v>
          </cell>
          <cell r="G31">
            <v>0.09</v>
          </cell>
        </row>
        <row r="32">
          <cell r="F32">
            <v>69.82</v>
          </cell>
          <cell r="G32">
            <v>6.97</v>
          </cell>
        </row>
        <row r="33">
          <cell r="F33">
            <v>15.36</v>
          </cell>
          <cell r="G33">
            <v>1.53</v>
          </cell>
        </row>
        <row r="34">
          <cell r="F34">
            <v>0.09</v>
          </cell>
          <cell r="G34">
            <v>0.01</v>
          </cell>
        </row>
        <row r="35">
          <cell r="F35">
            <v>1.81</v>
          </cell>
          <cell r="G35">
            <v>0.18</v>
          </cell>
        </row>
        <row r="36">
          <cell r="F36">
            <v>14.66</v>
          </cell>
          <cell r="G36">
            <v>1.46</v>
          </cell>
        </row>
        <row r="37">
          <cell r="F37">
            <v>381.2</v>
          </cell>
        </row>
        <row r="38">
          <cell r="G38">
            <v>38.03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50" zoomScaleSheetLayoutView="50" zoomScalePageLayoutView="0" workbookViewId="0" topLeftCell="B4">
      <selection activeCell="T47" sqref="T47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9.7109375" style="0" customWidth="1"/>
    <col min="4" max="4" width="10.28125" style="0" hidden="1" customWidth="1"/>
    <col min="5" max="5" width="9.140625" style="0" hidden="1" customWidth="1"/>
    <col min="6" max="6" width="11.8515625" style="0" hidden="1" customWidth="1"/>
    <col min="7" max="7" width="10.8515625" style="0" hidden="1" customWidth="1"/>
    <col min="8" max="8" width="11.851562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13.00390625" style="0" customWidth="1"/>
  </cols>
  <sheetData>
    <row r="1" spans="9:11" ht="15.75">
      <c r="I1" s="1"/>
      <c r="J1" s="1"/>
      <c r="K1" t="s">
        <v>42</v>
      </c>
    </row>
    <row r="2" spans="9:11" ht="15.75">
      <c r="I2" s="1"/>
      <c r="J2" s="1"/>
      <c r="K2" t="s">
        <v>43</v>
      </c>
    </row>
    <row r="3" spans="9:11" ht="15.75">
      <c r="I3" s="1"/>
      <c r="J3" s="1"/>
      <c r="K3" t="s">
        <v>44</v>
      </c>
    </row>
    <row r="4" spans="9:11" ht="15.75">
      <c r="I4" s="1"/>
      <c r="J4" s="1"/>
      <c r="K4" s="96" t="s">
        <v>71</v>
      </c>
    </row>
    <row r="5" spans="9:11" ht="15.75">
      <c r="I5" s="1"/>
      <c r="J5" s="1"/>
      <c r="K5" s="1"/>
    </row>
    <row r="6" spans="9:11" ht="15.75">
      <c r="I6" s="1"/>
      <c r="J6" s="1"/>
      <c r="K6" s="1"/>
    </row>
    <row r="7" spans="9:11" ht="15.75">
      <c r="I7" s="1"/>
      <c r="J7" s="1"/>
      <c r="K7" s="1"/>
    </row>
    <row r="8" spans="9:11" ht="15.75">
      <c r="I8" s="1"/>
      <c r="J8" s="1"/>
      <c r="K8" s="1"/>
    </row>
    <row r="9" spans="1:13" ht="42" customHeight="1">
      <c r="A9" s="105" t="s">
        <v>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1" spans="1:13" ht="15">
      <c r="A11" s="106" t="s">
        <v>1</v>
      </c>
      <c r="B11" s="106" t="s">
        <v>2</v>
      </c>
      <c r="C11" s="106" t="s">
        <v>3</v>
      </c>
      <c r="F11" s="109" t="s">
        <v>4</v>
      </c>
      <c r="G11" s="110"/>
      <c r="H11" s="99" t="s">
        <v>5</v>
      </c>
      <c r="I11" s="100"/>
      <c r="J11" s="99" t="s">
        <v>6</v>
      </c>
      <c r="K11" s="100"/>
      <c r="L11" s="99" t="s">
        <v>7</v>
      </c>
      <c r="M11" s="100"/>
    </row>
    <row r="12" spans="1:13" ht="15">
      <c r="A12" s="107"/>
      <c r="B12" s="107"/>
      <c r="C12" s="107"/>
      <c r="D12" s="2"/>
      <c r="E12" s="3"/>
      <c r="F12" s="111"/>
      <c r="G12" s="112"/>
      <c r="H12" s="101"/>
      <c r="I12" s="102"/>
      <c r="J12" s="101"/>
      <c r="K12" s="102"/>
      <c r="L12" s="101"/>
      <c r="M12" s="102"/>
    </row>
    <row r="13" spans="1:13" ht="15">
      <c r="A13" s="107"/>
      <c r="B13" s="107"/>
      <c r="C13" s="107"/>
      <c r="D13" s="4"/>
      <c r="E13" s="4"/>
      <c r="F13" s="113"/>
      <c r="G13" s="114"/>
      <c r="H13" s="103"/>
      <c r="I13" s="104"/>
      <c r="J13" s="103"/>
      <c r="K13" s="104"/>
      <c r="L13" s="103"/>
      <c r="M13" s="104"/>
    </row>
    <row r="14" spans="1:13" ht="25.5">
      <c r="A14" s="108"/>
      <c r="B14" s="108"/>
      <c r="C14" s="108"/>
      <c r="D14" s="5"/>
      <c r="E14" s="5"/>
      <c r="F14" s="5" t="s">
        <v>8</v>
      </c>
      <c r="G14" s="6" t="s">
        <v>9</v>
      </c>
      <c r="H14" s="5" t="s">
        <v>8</v>
      </c>
      <c r="I14" s="6" t="s">
        <v>9</v>
      </c>
      <c r="J14" s="5" t="s">
        <v>8</v>
      </c>
      <c r="K14" s="6" t="s">
        <v>9</v>
      </c>
      <c r="L14" s="5" t="s">
        <v>8</v>
      </c>
      <c r="M14" s="6" t="s">
        <v>9</v>
      </c>
    </row>
    <row r="15" spans="1:13" ht="15">
      <c r="A15" s="7">
        <v>1</v>
      </c>
      <c r="B15" s="8">
        <v>2</v>
      </c>
      <c r="C15" s="9">
        <v>3</v>
      </c>
      <c r="D15" s="10">
        <v>4</v>
      </c>
      <c r="E15" s="11"/>
      <c r="F15" s="11">
        <v>4</v>
      </c>
      <c r="G15" s="11">
        <v>5</v>
      </c>
      <c r="H15" s="11">
        <v>6</v>
      </c>
      <c r="I15" s="11">
        <v>7</v>
      </c>
      <c r="J15" s="11">
        <v>8</v>
      </c>
      <c r="K15" s="11">
        <v>9</v>
      </c>
      <c r="L15" s="11">
        <v>10</v>
      </c>
      <c r="M15" s="12"/>
    </row>
    <row r="16" spans="1:13" ht="15">
      <c r="A16" s="13">
        <v>1</v>
      </c>
      <c r="B16" s="14" t="s">
        <v>10</v>
      </c>
      <c r="C16" s="15" t="s">
        <v>11</v>
      </c>
      <c r="D16" s="16">
        <v>22955.4</v>
      </c>
      <c r="E16" s="17"/>
      <c r="F16" s="18">
        <f>'[1]в тариф на 2020-2021р'!E13</f>
        <v>10023.772</v>
      </c>
      <c r="G16" s="18">
        <f>F16</f>
        <v>10023.772</v>
      </c>
      <c r="H16" s="19">
        <v>9248.692</v>
      </c>
      <c r="I16" s="19">
        <v>9248.692</v>
      </c>
      <c r="J16" s="20">
        <v>701.145</v>
      </c>
      <c r="K16" s="20">
        <v>701.145</v>
      </c>
      <c r="L16" s="21">
        <v>34.183</v>
      </c>
      <c r="M16" s="12">
        <v>34.183</v>
      </c>
    </row>
    <row r="17" spans="1:14" ht="30">
      <c r="A17" s="22">
        <v>2</v>
      </c>
      <c r="B17" s="23" t="s">
        <v>12</v>
      </c>
      <c r="C17" s="24" t="s">
        <v>13</v>
      </c>
      <c r="D17" s="19">
        <v>34888.21</v>
      </c>
      <c r="E17" s="25">
        <v>34888.21</v>
      </c>
      <c r="F17" s="26" t="e">
        <f>'[1]виробництво'!F13+'[1]транспорт.'!#REF!+'[1]постачання'!F13</f>
        <v>#REF!</v>
      </c>
      <c r="G17" s="26" t="e">
        <f>ROUND(('[1]виробництво'!G13+'[1]транспорт.'!#REF!+'[1]постачання'!G13),2)</f>
        <v>#REF!</v>
      </c>
      <c r="H17" s="26">
        <v>39181.65000000001</v>
      </c>
      <c r="I17" s="26">
        <v>4236.48</v>
      </c>
      <c r="J17" s="26">
        <v>3804.0682799999995</v>
      </c>
      <c r="K17" s="26">
        <v>5425.508716599278</v>
      </c>
      <c r="L17" s="26">
        <v>144.816</v>
      </c>
      <c r="M17" s="26">
        <v>4236.481823420998</v>
      </c>
      <c r="N17" s="27"/>
    </row>
    <row r="18" spans="1:14" ht="26.25">
      <c r="A18" s="22">
        <v>3</v>
      </c>
      <c r="B18" s="28" t="s">
        <v>14</v>
      </c>
      <c r="C18" s="24" t="s">
        <v>13</v>
      </c>
      <c r="D18" s="29">
        <v>31185.68</v>
      </c>
      <c r="E18" s="30">
        <v>31185.68</v>
      </c>
      <c r="F18" s="26" t="e">
        <f>'[1]виробництво'!F14+'[1]транспорт.'!#REF!+'[1]постачання'!F14</f>
        <v>#REF!</v>
      </c>
      <c r="G18" s="26" t="e">
        <f>'[1]виробництво'!G14+'[1]транспорт.'!#REF!+'[1]постачання'!G14</f>
        <v>#REF!</v>
      </c>
      <c r="H18" s="26">
        <v>36102.73</v>
      </c>
      <c r="I18" s="26">
        <v>3903.5600000000004</v>
      </c>
      <c r="J18" s="26">
        <v>3570.6579999999994</v>
      </c>
      <c r="K18" s="26">
        <v>5092.611007280947</v>
      </c>
      <c r="L18" s="26">
        <v>133.436</v>
      </c>
      <c r="M18" s="26">
        <v>3903.5578018313195</v>
      </c>
      <c r="N18" s="27"/>
    </row>
    <row r="19" spans="1:14" ht="26.25">
      <c r="A19" s="22">
        <v>3.1</v>
      </c>
      <c r="B19" s="31" t="s">
        <v>15</v>
      </c>
      <c r="C19" s="32" t="s">
        <v>13</v>
      </c>
      <c r="D19" s="16">
        <v>27491.35</v>
      </c>
      <c r="E19" s="25">
        <v>27491.35</v>
      </c>
      <c r="F19" s="33" t="e">
        <f>'[1]виробництво'!F15+'[1]транспорт.'!#REF!+'[1]постачання'!F15</f>
        <v>#REF!</v>
      </c>
      <c r="G19" s="33" t="e">
        <f>'[1]виробництво'!G15+'[1]транспорт.'!#REF!+'[1]постачання'!G15</f>
        <v>#REF!</v>
      </c>
      <c r="H19" s="33">
        <v>24880.69</v>
      </c>
      <c r="I19" s="33">
        <v>2690.1900000000005</v>
      </c>
      <c r="J19" s="33">
        <v>2722.93</v>
      </c>
      <c r="K19" s="33">
        <v>3883.45</v>
      </c>
      <c r="L19" s="33">
        <v>91.956</v>
      </c>
      <c r="M19" s="34">
        <v>2690.209118567709</v>
      </c>
      <c r="N19" s="27"/>
    </row>
    <row r="20" spans="1:14" ht="15">
      <c r="A20" s="22" t="s">
        <v>16</v>
      </c>
      <c r="B20" s="35" t="s">
        <v>17</v>
      </c>
      <c r="C20" s="32" t="s">
        <v>13</v>
      </c>
      <c r="D20" s="16">
        <v>25751.19</v>
      </c>
      <c r="E20" s="25">
        <v>25751.19</v>
      </c>
      <c r="F20" s="33" t="e">
        <f>'[1]виробництво'!F16+'[1]транспорт.'!#REF!+'[1]постачання'!F16</f>
        <v>#REF!</v>
      </c>
      <c r="G20" s="33" t="e">
        <f>'[1]виробництво'!G16+'[1]транспорт.'!#REF!+'[1]постачання'!G16</f>
        <v>#REF!</v>
      </c>
      <c r="H20" s="33">
        <v>23475.96</v>
      </c>
      <c r="I20" s="33">
        <v>2538.3</v>
      </c>
      <c r="J20" s="33">
        <v>2616.29</v>
      </c>
      <c r="K20" s="33">
        <v>3731.45</v>
      </c>
      <c r="L20" s="33">
        <v>86.776</v>
      </c>
      <c r="M20" s="34">
        <v>2538.3018046982415</v>
      </c>
      <c r="N20" s="27"/>
    </row>
    <row r="21" spans="1:14" ht="25.5">
      <c r="A21" s="22" t="s">
        <v>18</v>
      </c>
      <c r="B21" s="36" t="s">
        <v>19</v>
      </c>
      <c r="C21" s="32" t="s">
        <v>13</v>
      </c>
      <c r="D21" s="16">
        <v>924.52</v>
      </c>
      <c r="E21" s="25">
        <v>924.52</v>
      </c>
      <c r="F21" s="33" t="e">
        <f>'[1]виробництво'!F17+'[1]транспорт.'!#REF!+'[1]постачання'!F17</f>
        <v>#REF!</v>
      </c>
      <c r="G21" s="33" t="e">
        <f>'[1]виробництво'!G17+'[1]транспорт.'!#REF!+'[1]постачання'!G17</f>
        <v>#REF!</v>
      </c>
      <c r="H21" s="33">
        <v>589.64</v>
      </c>
      <c r="I21" s="33">
        <v>63.76</v>
      </c>
      <c r="J21" s="33">
        <v>44.84</v>
      </c>
      <c r="K21" s="33">
        <v>63.86</v>
      </c>
      <c r="L21" s="33">
        <v>2.17</v>
      </c>
      <c r="M21" s="34">
        <v>63.76184770207413</v>
      </c>
      <c r="N21" s="27"/>
    </row>
    <row r="22" spans="1:14" ht="15">
      <c r="A22" s="22" t="s">
        <v>20</v>
      </c>
      <c r="B22" s="36" t="s">
        <v>21</v>
      </c>
      <c r="C22" s="32" t="s">
        <v>13</v>
      </c>
      <c r="D22" s="16">
        <v>157.7</v>
      </c>
      <c r="E22" s="25">
        <v>157.7</v>
      </c>
      <c r="F22" s="33" t="e">
        <f>'[1]виробництво'!F18+'[1]транспорт.'!#REF!+'[1]постачання'!F18</f>
        <v>#REF!</v>
      </c>
      <c r="G22" s="33" t="e">
        <f>'[1]виробництво'!G18+'[1]транспорт.'!#REF!+'[1]постачання'!G18</f>
        <v>#REF!</v>
      </c>
      <c r="H22" s="33">
        <v>97.9</v>
      </c>
      <c r="I22" s="33">
        <v>10.59</v>
      </c>
      <c r="J22" s="33">
        <v>7.42</v>
      </c>
      <c r="K22" s="33">
        <v>10.59</v>
      </c>
      <c r="L22" s="33">
        <v>0.36</v>
      </c>
      <c r="M22" s="34">
        <v>10.591550770851008</v>
      </c>
      <c r="N22" s="27"/>
    </row>
    <row r="23" spans="1:14" ht="25.5">
      <c r="A23" s="22" t="s">
        <v>22</v>
      </c>
      <c r="B23" s="36" t="s">
        <v>23</v>
      </c>
      <c r="C23" s="37" t="s">
        <v>13</v>
      </c>
      <c r="D23" s="16">
        <v>657.94</v>
      </c>
      <c r="E23" s="25">
        <v>657.94</v>
      </c>
      <c r="F23" s="33" t="e">
        <f>'[1]виробництво'!F19+'[1]транспорт.'!#REF!+'[1]постачання'!F19</f>
        <v>#REF!</v>
      </c>
      <c r="G23" s="33" t="e">
        <f>'[1]виробництво'!G19+'[1]транспорт.'!#REF!+'[1]постачання'!G19</f>
        <v>#REF!</v>
      </c>
      <c r="H23" s="33">
        <v>717.19</v>
      </c>
      <c r="I23" s="33">
        <v>77.55000000000001</v>
      </c>
      <c r="J23" s="33">
        <v>54.379999999999974</v>
      </c>
      <c r="K23" s="33">
        <v>77.55</v>
      </c>
      <c r="L23" s="33">
        <v>2.65</v>
      </c>
      <c r="M23" s="34">
        <v>77.55391539654215</v>
      </c>
      <c r="N23" s="27"/>
    </row>
    <row r="24" spans="1:14" ht="15">
      <c r="A24" s="22" t="s">
        <v>24</v>
      </c>
      <c r="B24" s="31" t="s">
        <v>25</v>
      </c>
      <c r="C24" s="37" t="s">
        <v>13</v>
      </c>
      <c r="D24" s="16">
        <v>2644.33</v>
      </c>
      <c r="E24" s="25">
        <v>2644.33</v>
      </c>
      <c r="F24" s="33">
        <f>'[1]в тариф на 2020-2021р'!E21</f>
        <v>1379.85</v>
      </c>
      <c r="G24" s="33" t="e">
        <f>'[1]виробництво'!G20+'[1]транспорт.'!#REF!+'[1]постачання'!G20</f>
        <v>#REF!</v>
      </c>
      <c r="H24" s="33">
        <v>8164.96</v>
      </c>
      <c r="I24" s="33">
        <v>882.83</v>
      </c>
      <c r="J24" s="33">
        <v>615.97</v>
      </c>
      <c r="K24" s="33">
        <v>878.52</v>
      </c>
      <c r="L24" s="33">
        <v>30.18</v>
      </c>
      <c r="M24" s="34">
        <v>882.825006289676</v>
      </c>
      <c r="N24" s="27"/>
    </row>
    <row r="25" spans="1:14" ht="15">
      <c r="A25" s="22" t="s">
        <v>26</v>
      </c>
      <c r="B25" s="38" t="s">
        <v>27</v>
      </c>
      <c r="C25" s="37" t="s">
        <v>13</v>
      </c>
      <c r="D25" s="16">
        <v>581.75</v>
      </c>
      <c r="E25" s="25">
        <v>581.75</v>
      </c>
      <c r="F25" s="33" t="e">
        <f>'[1]виробництво'!F21+'[1]транспорт.'!#REF!+'[1]постачання'!F21</f>
        <v>#REF!</v>
      </c>
      <c r="G25" s="33" t="e">
        <f>'[1]виробництво'!G21+'[1]транспорт.'!#REF!+'[1]постачання'!G21</f>
        <v>#REF!</v>
      </c>
      <c r="H25" s="33">
        <v>1795.68</v>
      </c>
      <c r="I25" s="33">
        <v>194.15</v>
      </c>
      <c r="J25" s="33">
        <v>136.118</v>
      </c>
      <c r="K25" s="33">
        <v>194.25000000000003</v>
      </c>
      <c r="L25" s="33">
        <v>6.64</v>
      </c>
      <c r="M25" s="34">
        <v>194.14860310680749</v>
      </c>
      <c r="N25" s="27"/>
    </row>
    <row r="26" spans="1:14" ht="15">
      <c r="A26" s="22" t="s">
        <v>28</v>
      </c>
      <c r="B26" s="31" t="s">
        <v>29</v>
      </c>
      <c r="C26" s="37" t="s">
        <v>13</v>
      </c>
      <c r="D26" s="16">
        <v>137.52</v>
      </c>
      <c r="E26" s="25">
        <v>137.52</v>
      </c>
      <c r="F26" s="33" t="e">
        <f>'[1]виробництво'!F22+'[1]транспорт.'!#REF!+'[1]постачання'!F22</f>
        <v>#REF!</v>
      </c>
      <c r="G26" s="33" t="e">
        <f>'[1]виробництво'!G22+'[1]транспорт.'!#REF!+'[1]постачання'!G22</f>
        <v>#REF!</v>
      </c>
      <c r="H26" s="33">
        <v>387.32000000000005</v>
      </c>
      <c r="I26" s="33">
        <v>41.88</v>
      </c>
      <c r="J26" s="33">
        <v>29.37</v>
      </c>
      <c r="K26" s="33">
        <v>41.88</v>
      </c>
      <c r="L26" s="33">
        <v>1.43</v>
      </c>
      <c r="M26" s="34">
        <v>41.88366000643594</v>
      </c>
      <c r="N26" s="27"/>
    </row>
    <row r="27" spans="1:14" ht="15">
      <c r="A27" s="22" t="s">
        <v>30</v>
      </c>
      <c r="B27" s="31" t="s">
        <v>31</v>
      </c>
      <c r="C27" s="37" t="s">
        <v>13</v>
      </c>
      <c r="D27" s="16">
        <v>330.73</v>
      </c>
      <c r="E27" s="25">
        <v>330.73</v>
      </c>
      <c r="F27" s="33" t="e">
        <f>'[1]виробництво'!F23+'[1]транспорт.'!#REF!+'[1]постачання'!F23</f>
        <v>#REF!</v>
      </c>
      <c r="G27" s="33" t="e">
        <f>'[1]виробництво'!G23+'[1]транспорт.'!#REF!+'[1]постачання'!G23</f>
        <v>#REF!</v>
      </c>
      <c r="H27" s="33">
        <v>874.08</v>
      </c>
      <c r="I27" s="33">
        <v>94.51</v>
      </c>
      <c r="J27" s="33">
        <v>66.2699999999999</v>
      </c>
      <c r="K27" s="33">
        <v>94.51100728094758</v>
      </c>
      <c r="L27" s="33">
        <v>3.23</v>
      </c>
      <c r="M27" s="34">
        <v>94.51141386069098</v>
      </c>
      <c r="N27" s="27"/>
    </row>
    <row r="28" spans="1:14" ht="26.25">
      <c r="A28" s="22">
        <v>4</v>
      </c>
      <c r="B28" s="28" t="s">
        <v>32</v>
      </c>
      <c r="C28" s="39" t="s">
        <v>13</v>
      </c>
      <c r="D28" s="16">
        <v>2232.8</v>
      </c>
      <c r="E28" s="25">
        <v>2232.8</v>
      </c>
      <c r="F28" s="26" t="e">
        <f>'[1]виробництво'!F24+'[1]транспорт.'!#REF!+'[1]постачання'!F24</f>
        <v>#REF!</v>
      </c>
      <c r="G28" s="26" t="e">
        <f>'[1]виробництво'!G24+'[1]транспорт.'!#REF!+'[1]постачання'!G24</f>
        <v>#REF!</v>
      </c>
      <c r="H28" s="26">
        <v>1439.44</v>
      </c>
      <c r="I28" s="26">
        <v>155.63</v>
      </c>
      <c r="J28" s="26">
        <v>109.12668000000001</v>
      </c>
      <c r="K28" s="26">
        <v>155.63</v>
      </c>
      <c r="L28" s="26">
        <v>5.32</v>
      </c>
      <c r="M28" s="40">
        <v>155.63291694702045</v>
      </c>
      <c r="N28" s="27"/>
    </row>
    <row r="29" spans="1:14" ht="15">
      <c r="A29" s="22">
        <v>4.1</v>
      </c>
      <c r="B29" s="31" t="s">
        <v>33</v>
      </c>
      <c r="C29" s="37" t="s">
        <v>13</v>
      </c>
      <c r="D29" s="16">
        <v>174.34</v>
      </c>
      <c r="E29" s="25">
        <v>174.34</v>
      </c>
      <c r="F29" s="33" t="e">
        <f>'[1]виробництво'!F25+'[1]транспорт.'!#REF!+'[1]постачання'!F25</f>
        <v>#REF!</v>
      </c>
      <c r="G29" s="33" t="e">
        <f>'[1]виробництво'!G25+'[1]транспорт.'!#REF!+'[1]постачання'!G25</f>
        <v>#REF!</v>
      </c>
      <c r="H29" s="33">
        <v>154.84</v>
      </c>
      <c r="I29" s="33">
        <v>16.74</v>
      </c>
      <c r="J29" s="33">
        <v>11.748400000000002</v>
      </c>
      <c r="K29" s="33">
        <v>16.74</v>
      </c>
      <c r="L29" s="33">
        <v>0.5700000000000001</v>
      </c>
      <c r="M29" s="34">
        <v>16.744955387180767</v>
      </c>
      <c r="N29" s="27"/>
    </row>
    <row r="30" spans="1:14" ht="15">
      <c r="A30" s="22">
        <v>4.2</v>
      </c>
      <c r="B30" s="31" t="s">
        <v>25</v>
      </c>
      <c r="C30" s="37" t="s">
        <v>13</v>
      </c>
      <c r="D30" s="16">
        <v>1640.52</v>
      </c>
      <c r="E30" s="25">
        <v>1640.52</v>
      </c>
      <c r="F30" s="33" t="e">
        <f>'[1]виробництво'!F26+'[1]транспорт.'!#REF!+'[1]постачання'!F26</f>
        <v>#REF!</v>
      </c>
      <c r="G30" s="33" t="e">
        <f>'[1]виробництво'!G26+'[1]транспорт.'!#REF!+'[1]постачання'!G26</f>
        <v>#REF!</v>
      </c>
      <c r="H30" s="33">
        <v>941.3000000000001</v>
      </c>
      <c r="I30" s="33">
        <v>101.77</v>
      </c>
      <c r="J30" s="33">
        <v>71.34814</v>
      </c>
      <c r="K30" s="33">
        <v>101.77</v>
      </c>
      <c r="L30" s="33">
        <v>3.48</v>
      </c>
      <c r="M30" s="34">
        <v>101.77499078489308</v>
      </c>
      <c r="N30" s="27"/>
    </row>
    <row r="31" spans="1:14" ht="15">
      <c r="A31" s="22">
        <v>4.3</v>
      </c>
      <c r="B31" s="31" t="s">
        <v>34</v>
      </c>
      <c r="C31" s="37" t="s">
        <v>13</v>
      </c>
      <c r="D31" s="16">
        <v>360.91</v>
      </c>
      <c r="E31" s="25">
        <v>360.91</v>
      </c>
      <c r="F31" s="33" t="e">
        <f>'[1]виробництво'!F27+'[1]транспорт.'!#REF!+'[1]постачання'!F27</f>
        <v>#REF!</v>
      </c>
      <c r="G31" s="33" t="e">
        <f>'[1]виробництво'!G27+'[1]транспорт.'!#REF!+'[1]постачання'!G27</f>
        <v>#REF!</v>
      </c>
      <c r="H31" s="33">
        <v>207.08</v>
      </c>
      <c r="I31" s="33">
        <v>22.39</v>
      </c>
      <c r="J31" s="33">
        <v>15.706940000000007</v>
      </c>
      <c r="K31" s="33">
        <v>22.39</v>
      </c>
      <c r="L31" s="33">
        <v>0.77</v>
      </c>
      <c r="M31" s="34">
        <v>22.385816926542432</v>
      </c>
      <c r="N31" s="27"/>
    </row>
    <row r="32" spans="1:14" ht="15">
      <c r="A32" s="22">
        <v>4.4</v>
      </c>
      <c r="B32" s="31" t="s">
        <v>29</v>
      </c>
      <c r="C32" s="37" t="s">
        <v>13</v>
      </c>
      <c r="D32" s="16">
        <v>26.96</v>
      </c>
      <c r="E32" s="25">
        <v>26.96</v>
      </c>
      <c r="F32" s="33" t="e">
        <f>'[1]виробництво'!F28+'[1]транспорт.'!#REF!+'[1]постачання'!F28</f>
        <v>#REF!</v>
      </c>
      <c r="G32" s="33" t="e">
        <f>'[1]виробництво'!G28+'[1]транспорт.'!#REF!+'[1]постачання'!G28</f>
        <v>#REF!</v>
      </c>
      <c r="H32" s="33">
        <v>95.95</v>
      </c>
      <c r="I32" s="33">
        <v>10.380000000000003</v>
      </c>
      <c r="J32" s="33">
        <v>7.274399999999999</v>
      </c>
      <c r="K32" s="33">
        <v>10.380000000000003</v>
      </c>
      <c r="L32" s="33">
        <v>0.35000000000000003</v>
      </c>
      <c r="M32" s="34">
        <v>10.379007693882926</v>
      </c>
      <c r="N32" s="27"/>
    </row>
    <row r="33" spans="1:14" ht="15">
      <c r="A33" s="22">
        <v>4.5</v>
      </c>
      <c r="B33" s="31" t="s">
        <v>35</v>
      </c>
      <c r="C33" s="37" t="s">
        <v>13</v>
      </c>
      <c r="D33" s="16">
        <v>30.07</v>
      </c>
      <c r="E33" s="25">
        <v>30.07</v>
      </c>
      <c r="F33" s="33" t="e">
        <f>'[1]виробництво'!F29+'[1]транспорт.'!#REF!+'[1]постачання'!F29</f>
        <v>#REF!</v>
      </c>
      <c r="G33" s="33" t="e">
        <f>'[1]виробництво'!G29+'[1]транспорт.'!#REF!+'[1]постачання'!G29</f>
        <v>#REF!</v>
      </c>
      <c r="H33" s="33">
        <v>40.27</v>
      </c>
      <c r="I33" s="33">
        <v>4.3500000000000005</v>
      </c>
      <c r="J33" s="33">
        <v>3.0488</v>
      </c>
      <c r="K33" s="33">
        <v>4.3500000000000005</v>
      </c>
      <c r="L33" s="33">
        <v>0.15000000000000002</v>
      </c>
      <c r="M33" s="34">
        <v>4.348146154521254</v>
      </c>
      <c r="N33" s="27"/>
    </row>
    <row r="34" spans="1:14" ht="26.25">
      <c r="A34" s="22">
        <v>5</v>
      </c>
      <c r="B34" s="28" t="s">
        <v>36</v>
      </c>
      <c r="C34" s="39" t="s">
        <v>13</v>
      </c>
      <c r="D34" s="16">
        <v>1469.73</v>
      </c>
      <c r="E34" s="25">
        <v>1469.73</v>
      </c>
      <c r="F34" s="26" t="e">
        <f>'[1]виробництво'!F30+'[1]транспорт.'!#REF!+'[1]постачання'!F30</f>
        <v>#REF!</v>
      </c>
      <c r="G34" s="26" t="e">
        <f>'[1]виробництво'!G30+'[1]транспорт.'!#REF!+'[1]постачання'!G30</f>
        <v>#REF!</v>
      </c>
      <c r="H34" s="26">
        <v>1639.48</v>
      </c>
      <c r="I34" s="26">
        <v>177.31</v>
      </c>
      <c r="J34" s="26">
        <v>124.28359999999999</v>
      </c>
      <c r="K34" s="26">
        <v>177.28770931832926</v>
      </c>
      <c r="L34" s="26">
        <v>6.06</v>
      </c>
      <c r="M34" s="40">
        <v>177.31110464265862</v>
      </c>
      <c r="N34" s="27"/>
    </row>
    <row r="35" spans="1:14" ht="15">
      <c r="A35" s="22">
        <v>5.1</v>
      </c>
      <c r="B35" s="31" t="s">
        <v>37</v>
      </c>
      <c r="C35" s="37" t="s">
        <v>13</v>
      </c>
      <c r="D35" s="16">
        <v>73.49</v>
      </c>
      <c r="E35" s="25">
        <v>73.49</v>
      </c>
      <c r="F35" s="33" t="e">
        <f>'[1]виробництво'!F31+'[1]транспорт.'!#REF!+'[1]постачання'!F31</f>
        <v>#REF!</v>
      </c>
      <c r="G35" s="33" t="e">
        <f>'[1]виробництво'!G31+'[1]транспорт.'!#REF!+'[1]постачання'!G31</f>
        <v>#REF!</v>
      </c>
      <c r="H35" s="33">
        <v>40.769999999999996</v>
      </c>
      <c r="I35" s="33">
        <v>4.42</v>
      </c>
      <c r="J35" s="33">
        <v>3.091</v>
      </c>
      <c r="K35" s="33">
        <v>4.37</v>
      </c>
      <c r="L35" s="33">
        <v>0.15000000000000002</v>
      </c>
      <c r="M35" s="34">
        <v>4.418146154521255</v>
      </c>
      <c r="N35" s="27"/>
    </row>
    <row r="36" spans="1:14" ht="15">
      <c r="A36" s="22">
        <v>5.2</v>
      </c>
      <c r="B36" s="31" t="s">
        <v>25</v>
      </c>
      <c r="C36" s="37" t="s">
        <v>13</v>
      </c>
      <c r="D36" s="16">
        <v>1066.27</v>
      </c>
      <c r="E36" s="25">
        <v>1066.27</v>
      </c>
      <c r="F36" s="33" t="e">
        <f>'[1]виробництво'!F32+'[1]транспорт.'!#REF!+'[1]постачання'!F32</f>
        <v>#REF!</v>
      </c>
      <c r="G36" s="33" t="e">
        <f>'[1]виробництво'!G32+'[1]транспорт.'!#REF!+'[1]постачання'!G32</f>
        <v>#REF!</v>
      </c>
      <c r="H36" s="33">
        <v>1238.88</v>
      </c>
      <c r="I36" s="33">
        <v>133.96</v>
      </c>
      <c r="J36" s="33">
        <v>93.91548</v>
      </c>
      <c r="K36" s="33">
        <v>133.95000000000002</v>
      </c>
      <c r="L36" s="33">
        <v>4.58</v>
      </c>
      <c r="M36" s="34">
        <v>133.96472925138227</v>
      </c>
      <c r="N36" s="27"/>
    </row>
    <row r="37" spans="1:14" ht="15">
      <c r="A37" s="22">
        <v>5.3</v>
      </c>
      <c r="B37" s="38" t="s">
        <v>27</v>
      </c>
      <c r="C37" s="37" t="s">
        <v>13</v>
      </c>
      <c r="D37" s="16">
        <v>234.58</v>
      </c>
      <c r="E37" s="25">
        <v>234.58</v>
      </c>
      <c r="F37" s="33" t="e">
        <f>'[1]виробництво'!F33+'[1]транспорт.'!#REF!+'[1]постачання'!F33</f>
        <v>#REF!</v>
      </c>
      <c r="G37" s="33" t="e">
        <f>'[1]виробництво'!G33+'[1]транспорт.'!#REF!+'[1]постачання'!G33</f>
        <v>#REF!</v>
      </c>
      <c r="H37" s="33">
        <v>272.55</v>
      </c>
      <c r="I37" s="33">
        <v>29.46</v>
      </c>
      <c r="J37" s="33">
        <v>20.667720000000003</v>
      </c>
      <c r="K37" s="33">
        <v>29.480000000000004</v>
      </c>
      <c r="L37" s="33">
        <v>1.01</v>
      </c>
      <c r="M37" s="34">
        <v>29.456850773776438</v>
      </c>
      <c r="N37" s="27"/>
    </row>
    <row r="38" spans="1:14" ht="15">
      <c r="A38" s="22">
        <v>5.4</v>
      </c>
      <c r="B38" s="31" t="s">
        <v>29</v>
      </c>
      <c r="C38" s="37" t="s">
        <v>13</v>
      </c>
      <c r="D38" s="16">
        <v>2.58</v>
      </c>
      <c r="E38" s="25">
        <v>2.58</v>
      </c>
      <c r="F38" s="33" t="e">
        <f>'[1]виробництво'!F34+'[1]транспорт.'!#REF!+'[1]постачання'!F34</f>
        <v>#REF!</v>
      </c>
      <c r="G38" s="33" t="e">
        <f>'[1]виробництво'!G34+'[1]транспорт.'!#REF!+'[1]постачання'!G34</f>
        <v>#REF!</v>
      </c>
      <c r="H38" s="33">
        <v>3.82</v>
      </c>
      <c r="I38" s="33">
        <v>0.43000000000000005</v>
      </c>
      <c r="J38" s="33">
        <v>0.28480000000000005</v>
      </c>
      <c r="K38" s="33">
        <v>0.4</v>
      </c>
      <c r="L38" s="33">
        <v>0.01</v>
      </c>
      <c r="M38" s="34">
        <v>0.4325430769680836</v>
      </c>
      <c r="N38" s="27"/>
    </row>
    <row r="39" spans="1:14" ht="15">
      <c r="A39" s="22">
        <v>5.5</v>
      </c>
      <c r="B39" s="31" t="s">
        <v>38</v>
      </c>
      <c r="C39" s="37" t="s">
        <v>13</v>
      </c>
      <c r="D39" s="16">
        <v>92.81</v>
      </c>
      <c r="E39" s="25">
        <v>92.81</v>
      </c>
      <c r="F39" s="33" t="e">
        <f>'[1]виробництво'!F35+'[1]транспорт.'!#REF!+'[1]постачання'!F35</f>
        <v>#REF!</v>
      </c>
      <c r="G39" s="33" t="e">
        <f>'[1]виробництво'!G35+'[1]транспорт.'!#REF!+'[1]постачання'!G35</f>
        <v>#REF!</v>
      </c>
      <c r="H39" s="33">
        <v>83.46000000000001</v>
      </c>
      <c r="I39" s="33">
        <v>9.04</v>
      </c>
      <c r="J39" s="33">
        <v>6.324599999999999</v>
      </c>
      <c r="K39" s="33">
        <v>9.007709318329304</v>
      </c>
      <c r="L39" s="33">
        <v>0.31</v>
      </c>
      <c r="M39" s="34">
        <v>9.038835386010591</v>
      </c>
      <c r="N39" s="27"/>
    </row>
    <row r="40" spans="1:14" ht="15">
      <c r="A40" s="22">
        <v>6</v>
      </c>
      <c r="B40" s="31" t="s">
        <v>39</v>
      </c>
      <c r="C40" s="37" t="s">
        <v>13</v>
      </c>
      <c r="D40" s="16">
        <v>0</v>
      </c>
      <c r="E40" s="25">
        <v>0</v>
      </c>
      <c r="F40" s="33" t="e">
        <f>'[1]виробництво'!F36+'[1]транспорт.'!#REF!+'[1]постачання'!F36</f>
        <v>#REF!</v>
      </c>
      <c r="G40" s="33" t="e">
        <f>'[1]виробництво'!G36+'[1]транспорт.'!#REF!+'[1]постачання'!G36+0.01</f>
        <v>#REF!</v>
      </c>
      <c r="H40" s="33">
        <v>1567.27</v>
      </c>
      <c r="I40" s="33">
        <v>169.45000000000002</v>
      </c>
      <c r="J40" s="33">
        <v>152.16000000000003</v>
      </c>
      <c r="K40" s="33">
        <v>217.02</v>
      </c>
      <c r="L40" s="33">
        <v>5.8</v>
      </c>
      <c r="M40" s="34">
        <v>169.45498464148844</v>
      </c>
      <c r="N40" s="27"/>
    </row>
    <row r="41" spans="1:14" ht="15">
      <c r="A41" s="22">
        <v>7</v>
      </c>
      <c r="B41" s="31" t="s">
        <v>40</v>
      </c>
      <c r="C41" s="37" t="s">
        <v>13</v>
      </c>
      <c r="D41" s="19">
        <v>34888.21</v>
      </c>
      <c r="E41" s="25">
        <v>34888.21</v>
      </c>
      <c r="F41" s="33" t="e">
        <f>'[1]виробництво'!F37+'[1]транспорт.'!#REF!+'[1]постачання'!F37</f>
        <v>#REF!</v>
      </c>
      <c r="G41" s="33"/>
      <c r="H41" s="33">
        <v>40748.920000000006</v>
      </c>
      <c r="I41" s="33"/>
      <c r="J41" s="33">
        <v>3956.2282799999994</v>
      </c>
      <c r="K41" s="33"/>
      <c r="L41" s="33">
        <v>150.616</v>
      </c>
      <c r="M41" s="34"/>
      <c r="N41" s="27"/>
    </row>
    <row r="42" spans="1:14" ht="26.25">
      <c r="A42" s="41">
        <v>8</v>
      </c>
      <c r="B42" s="28" t="s">
        <v>41</v>
      </c>
      <c r="C42" s="42" t="s">
        <v>9</v>
      </c>
      <c r="D42" s="43">
        <v>1519.8258361866926</v>
      </c>
      <c r="E42" s="44"/>
      <c r="F42" s="33" t="e">
        <f>'[1]виробництво'!F38+'[1]транспорт.'!#REF!+'[1]постачання'!F38</f>
        <v>#REF!</v>
      </c>
      <c r="G42" s="33" t="e">
        <f>'[1]виробництво'!G38+'[1]транспорт.'!#REF!+'[1]постачання'!G38</f>
        <v>#REF!</v>
      </c>
      <c r="H42" s="33">
        <v>0</v>
      </c>
      <c r="I42" s="33">
        <v>4405.92</v>
      </c>
      <c r="J42" s="33">
        <v>0</v>
      </c>
      <c r="K42" s="33">
        <v>5642.525126756947</v>
      </c>
      <c r="L42" s="33"/>
      <c r="M42" s="34">
        <v>4405.92</v>
      </c>
      <c r="N42" s="27"/>
    </row>
    <row r="45" spans="2:12" ht="47.25">
      <c r="B45" s="97" t="s">
        <v>74</v>
      </c>
      <c r="C45" s="1"/>
      <c r="D45" s="1"/>
      <c r="E45" s="1"/>
      <c r="F45" s="1"/>
      <c r="G45" s="1"/>
      <c r="H45" s="1"/>
      <c r="I45" s="98"/>
      <c r="J45" s="98"/>
      <c r="K45" s="98"/>
      <c r="L45" s="98" t="s">
        <v>73</v>
      </c>
    </row>
    <row r="47" spans="2:12" ht="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2:12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</sheetData>
  <sheetProtection/>
  <mergeCells count="8">
    <mergeCell ref="J11:K13"/>
    <mergeCell ref="L11:M13"/>
    <mergeCell ref="A9:M9"/>
    <mergeCell ref="A11:A14"/>
    <mergeCell ref="B11:B14"/>
    <mergeCell ref="C11:C14"/>
    <mergeCell ref="F11:G13"/>
    <mergeCell ref="H11:I1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22">
      <selection activeCell="R41" sqref="R41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9.7109375" style="0" customWidth="1"/>
    <col min="4" max="4" width="10.28125" style="0" hidden="1" customWidth="1"/>
    <col min="5" max="5" width="9.140625" style="0" hidden="1" customWidth="1"/>
    <col min="6" max="6" width="11.8515625" style="0" hidden="1" customWidth="1"/>
    <col min="7" max="7" width="10.8515625" style="0" hidden="1" customWidth="1"/>
    <col min="8" max="8" width="11.851562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21.421875" style="0" customWidth="1"/>
    <col min="13" max="13" width="11.00390625" style="0" hidden="1" customWidth="1"/>
  </cols>
  <sheetData>
    <row r="1" spans="10:12" ht="15.75">
      <c r="J1" s="1"/>
      <c r="K1" t="s">
        <v>48</v>
      </c>
      <c r="L1" s="1"/>
    </row>
    <row r="2" spans="10:12" ht="15.75">
      <c r="J2" s="1"/>
      <c r="K2" t="s">
        <v>43</v>
      </c>
      <c r="L2" s="1"/>
    </row>
    <row r="3" spans="10:12" ht="15.75">
      <c r="J3" s="1"/>
      <c r="K3" t="s">
        <v>44</v>
      </c>
      <c r="L3" s="1"/>
    </row>
    <row r="4" spans="10:12" ht="15.75">
      <c r="J4" s="1"/>
      <c r="K4" s="61" t="s">
        <v>71</v>
      </c>
      <c r="L4" s="1"/>
    </row>
    <row r="6" spans="1:13" ht="43.5" customHeight="1">
      <c r="A6" s="105" t="s">
        <v>45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8" spans="1:13" ht="15">
      <c r="A8" s="106" t="s">
        <v>1</v>
      </c>
      <c r="B8" s="106" t="s">
        <v>2</v>
      </c>
      <c r="C8" s="106" t="s">
        <v>3</v>
      </c>
      <c r="D8" s="47"/>
      <c r="E8" s="47"/>
      <c r="F8" s="99" t="s">
        <v>4</v>
      </c>
      <c r="G8" s="100"/>
      <c r="H8" s="99" t="s">
        <v>5</v>
      </c>
      <c r="I8" s="100"/>
      <c r="J8" s="99" t="s">
        <v>6</v>
      </c>
      <c r="K8" s="100"/>
      <c r="L8" s="99" t="s">
        <v>7</v>
      </c>
      <c r="M8" s="100"/>
    </row>
    <row r="9" spans="1:13" ht="15">
      <c r="A9" s="107"/>
      <c r="B9" s="107"/>
      <c r="C9" s="107"/>
      <c r="D9" s="48"/>
      <c r="E9" s="49"/>
      <c r="F9" s="101"/>
      <c r="G9" s="102"/>
      <c r="H9" s="101"/>
      <c r="I9" s="102"/>
      <c r="J9" s="101"/>
      <c r="K9" s="102"/>
      <c r="L9" s="101"/>
      <c r="M9" s="102"/>
    </row>
    <row r="10" spans="1:13" ht="15">
      <c r="A10" s="107"/>
      <c r="B10" s="107"/>
      <c r="C10" s="107"/>
      <c r="D10" s="50"/>
      <c r="E10" s="50"/>
      <c r="F10" s="103"/>
      <c r="G10" s="104"/>
      <c r="H10" s="103"/>
      <c r="I10" s="104"/>
      <c r="J10" s="103"/>
      <c r="K10" s="104"/>
      <c r="L10" s="103"/>
      <c r="M10" s="104"/>
    </row>
    <row r="11" spans="1:13" ht="25.5">
      <c r="A11" s="108"/>
      <c r="B11" s="108"/>
      <c r="C11" s="108"/>
      <c r="D11" s="5"/>
      <c r="E11" s="5"/>
      <c r="F11" s="5" t="s">
        <v>8</v>
      </c>
      <c r="G11" s="6" t="s">
        <v>9</v>
      </c>
      <c r="H11" s="5" t="s">
        <v>8</v>
      </c>
      <c r="I11" s="6" t="s">
        <v>9</v>
      </c>
      <c r="J11" s="5" t="s">
        <v>8</v>
      </c>
      <c r="K11" s="6" t="s">
        <v>9</v>
      </c>
      <c r="L11" s="5" t="s">
        <v>8</v>
      </c>
      <c r="M11" s="6" t="s">
        <v>9</v>
      </c>
    </row>
    <row r="12" spans="1:13" ht="15">
      <c r="A12" s="7">
        <v>1</v>
      </c>
      <c r="B12" s="8">
        <v>2</v>
      </c>
      <c r="C12" s="9">
        <v>3</v>
      </c>
      <c r="D12" s="10">
        <v>4</v>
      </c>
      <c r="E12" s="11"/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2"/>
    </row>
    <row r="13" spans="1:13" ht="15">
      <c r="A13" s="13">
        <v>1</v>
      </c>
      <c r="B13" s="14" t="s">
        <v>10</v>
      </c>
      <c r="C13" s="15" t="s">
        <v>11</v>
      </c>
      <c r="D13" s="16">
        <v>22955.4</v>
      </c>
      <c r="E13" s="17"/>
      <c r="F13" s="20">
        <v>10023.772</v>
      </c>
      <c r="G13" s="20">
        <v>10023.772</v>
      </c>
      <c r="H13" s="20">
        <v>9248.692</v>
      </c>
      <c r="I13" s="20">
        <v>9248.692</v>
      </c>
      <c r="J13" s="20">
        <v>701.145</v>
      </c>
      <c r="K13" s="20">
        <v>701.145</v>
      </c>
      <c r="L13" s="51">
        <v>34.183</v>
      </c>
      <c r="M13" s="12">
        <v>34.183</v>
      </c>
    </row>
    <row r="14" spans="1:13" ht="30">
      <c r="A14" s="22">
        <v>2</v>
      </c>
      <c r="B14" s="23" t="s">
        <v>12</v>
      </c>
      <c r="C14" s="32" t="s">
        <v>13</v>
      </c>
      <c r="D14" s="19">
        <v>34888.21</v>
      </c>
      <c r="E14" s="25">
        <v>34888.21</v>
      </c>
      <c r="F14" s="52">
        <f>F15+F31+F25</f>
        <v>17405.375000000004</v>
      </c>
      <c r="G14" s="52">
        <f>G15+G25+G31</f>
        <v>1736.4099999999996</v>
      </c>
      <c r="H14" s="52">
        <f>H15+H31+H25</f>
        <v>37829.630000000005</v>
      </c>
      <c r="I14" s="52">
        <f>I15+I25+I31</f>
        <v>4090.28</v>
      </c>
      <c r="J14" s="52">
        <f>J15+J31+J25</f>
        <v>3701.5</v>
      </c>
      <c r="K14" s="52">
        <f>K15+K25+K31</f>
        <v>5279.210000000001</v>
      </c>
      <c r="L14" s="52">
        <f>L15+L25+L31</f>
        <v>139.826</v>
      </c>
      <c r="M14" s="52">
        <f>M15+M25+M31</f>
        <v>4090.2828280139247</v>
      </c>
    </row>
    <row r="15" spans="1:13" ht="26.25">
      <c r="A15" s="22">
        <v>3</v>
      </c>
      <c r="B15" s="28" t="s">
        <v>14</v>
      </c>
      <c r="C15" s="24" t="s">
        <v>13</v>
      </c>
      <c r="D15" s="29">
        <v>31185.68</v>
      </c>
      <c r="E15" s="30">
        <v>31185.68</v>
      </c>
      <c r="F15" s="52">
        <f>'[1]в тариф на 2020-2021р'!J15</f>
        <v>14463.625000000002</v>
      </c>
      <c r="G15" s="52">
        <f aca="true" t="shared" si="0" ref="G15:M15">G16+G21+G22+G23+G24</f>
        <v>1442.9199999999998</v>
      </c>
      <c r="H15" s="52">
        <f t="shared" si="0"/>
        <v>35115.340000000004</v>
      </c>
      <c r="I15" s="52">
        <f t="shared" si="0"/>
        <v>3796.7900000000004</v>
      </c>
      <c r="J15" s="52">
        <f t="shared" si="0"/>
        <v>3495.72</v>
      </c>
      <c r="K15" s="52">
        <f>K16+K21+K22+K23+K24</f>
        <v>4985.72</v>
      </c>
      <c r="L15" s="53">
        <f t="shared" si="0"/>
        <v>129.796</v>
      </c>
      <c r="M15" s="53">
        <f t="shared" si="0"/>
        <v>3796.792121814937</v>
      </c>
    </row>
    <row r="16" spans="1:13" ht="26.25">
      <c r="A16" s="22">
        <v>3.1</v>
      </c>
      <c r="B16" s="31" t="s">
        <v>15</v>
      </c>
      <c r="C16" s="32" t="s">
        <v>13</v>
      </c>
      <c r="D16" s="16">
        <v>27491.35</v>
      </c>
      <c r="E16" s="25">
        <v>27491.35</v>
      </c>
      <c r="F16" s="54">
        <f aca="true" t="shared" si="1" ref="F16:M16">F17+F18+F19+F20</f>
        <v>13284.755000000001</v>
      </c>
      <c r="G16" s="54">
        <f t="shared" si="1"/>
        <v>1325.32</v>
      </c>
      <c r="H16" s="54">
        <f t="shared" si="1"/>
        <v>24550.9</v>
      </c>
      <c r="I16" s="54">
        <f t="shared" si="1"/>
        <v>2654.5300000000007</v>
      </c>
      <c r="J16" s="54">
        <f t="shared" si="1"/>
        <v>2697.85</v>
      </c>
      <c r="K16" s="54">
        <f t="shared" si="1"/>
        <v>3847.7799999999997</v>
      </c>
      <c r="L16" s="55">
        <f t="shared" si="1"/>
        <v>90.746</v>
      </c>
      <c r="M16" s="55">
        <f t="shared" si="1"/>
        <v>2654.531406254571</v>
      </c>
    </row>
    <row r="17" spans="1:13" ht="15">
      <c r="A17" s="22" t="s">
        <v>16</v>
      </c>
      <c r="B17" s="35" t="s">
        <v>17</v>
      </c>
      <c r="C17" s="32" t="s">
        <v>13</v>
      </c>
      <c r="D17" s="16">
        <v>25751.19</v>
      </c>
      <c r="E17" s="25">
        <v>25751.19</v>
      </c>
      <c r="F17" s="54">
        <f>'[1]в тариф на 2020-2021р'!J17</f>
        <v>12782.959</v>
      </c>
      <c r="G17" s="56">
        <f>ROUND(F17/F13*1000,2)</f>
        <v>1275.26</v>
      </c>
      <c r="H17" s="19">
        <f>'[1]в тариф на 2020-2021р'!K17</f>
        <v>23475.96</v>
      </c>
      <c r="I17" s="56">
        <f>ROUND(H17/H13*1000,2)</f>
        <v>2538.3</v>
      </c>
      <c r="J17" s="19">
        <f>'[1]в тариф на 2020-2021р'!L17</f>
        <v>2616.29</v>
      </c>
      <c r="K17" s="57">
        <v>3731.45</v>
      </c>
      <c r="L17" s="55">
        <f>'[1]в тариф на 2020-2021р'!M17</f>
        <v>86.776</v>
      </c>
      <c r="M17" s="34">
        <f>L17/L13*1000-0.27</f>
        <v>2538.3018046982415</v>
      </c>
    </row>
    <row r="18" spans="1:13" ht="25.5">
      <c r="A18" s="22" t="s">
        <v>18</v>
      </c>
      <c r="B18" s="36" t="s">
        <v>19</v>
      </c>
      <c r="C18" s="32" t="s">
        <v>13</v>
      </c>
      <c r="D18" s="16">
        <v>924.52</v>
      </c>
      <c r="E18" s="25">
        <v>924.52</v>
      </c>
      <c r="F18" s="54">
        <f>'[1]в тариф на 2020-2021р'!J18</f>
        <v>319.546</v>
      </c>
      <c r="G18" s="56">
        <f>ROUND(F18/F13*1000,2)</f>
        <v>31.88</v>
      </c>
      <c r="H18" s="19">
        <f>'[1]в тариф на 2020-2021р'!K18</f>
        <v>294.82</v>
      </c>
      <c r="I18" s="56">
        <f>ROUND(H18/H13*1000,2)</f>
        <v>31.88</v>
      </c>
      <c r="J18" s="19">
        <f>'[1]в тариф на 2020-2021р'!L18</f>
        <v>22.42</v>
      </c>
      <c r="K18" s="56">
        <v>31.98</v>
      </c>
      <c r="L18" s="55">
        <f>'[1]в тариф на 2020-2021р'!M18</f>
        <v>1.09</v>
      </c>
      <c r="M18" s="34">
        <f>L18/$L$13*1000-0.01</f>
        <v>31.87719538952111</v>
      </c>
    </row>
    <row r="19" spans="1:13" ht="15">
      <c r="A19" s="22" t="s">
        <v>20</v>
      </c>
      <c r="B19" s="36" t="s">
        <v>21</v>
      </c>
      <c r="C19" s="32" t="s">
        <v>13</v>
      </c>
      <c r="D19" s="16">
        <v>157.7</v>
      </c>
      <c r="E19" s="25">
        <v>157.7</v>
      </c>
      <c r="F19" s="54">
        <f>'[1]в тариф на 2020-2021р'!J19</f>
        <v>106.1</v>
      </c>
      <c r="G19" s="56">
        <f>ROUND(F19/F13*1000,2)</f>
        <v>10.58</v>
      </c>
      <c r="H19" s="19">
        <f>'[1]в тариф на 2020-2021р'!K19</f>
        <v>97.9</v>
      </c>
      <c r="I19" s="56">
        <f>ROUND(H19/H13*1000,2)</f>
        <v>10.59</v>
      </c>
      <c r="J19" s="19">
        <f>'[1]в тариф на 2020-2021р'!L19</f>
        <v>7.42</v>
      </c>
      <c r="K19" s="56">
        <f>ROUND(J19/J13*1000,2)+0.01</f>
        <v>10.59</v>
      </c>
      <c r="L19" s="55">
        <f>'[1]в тариф на 2020-2021р'!M19</f>
        <v>0.36</v>
      </c>
      <c r="M19" s="34">
        <f>L19/$L$13*1000+0.06</f>
        <v>10.591550770851008</v>
      </c>
    </row>
    <row r="20" spans="1:13" ht="25.5">
      <c r="A20" s="22" t="s">
        <v>22</v>
      </c>
      <c r="B20" s="36" t="s">
        <v>23</v>
      </c>
      <c r="C20" s="37" t="s">
        <v>13</v>
      </c>
      <c r="D20" s="16">
        <v>657.94</v>
      </c>
      <c r="E20" s="25">
        <v>657.94</v>
      </c>
      <c r="F20" s="54">
        <f>'[1]в тариф на 2020-2021р'!J20</f>
        <v>76.15</v>
      </c>
      <c r="G20" s="56">
        <f>ROUND(F20/F13*1000,2)</f>
        <v>7.6</v>
      </c>
      <c r="H20" s="19">
        <f>'[1]в тариф на 2020-2021р'!K20</f>
        <v>682.22</v>
      </c>
      <c r="I20" s="56">
        <f>ROUND(H20/H13*1000,2)</f>
        <v>73.76</v>
      </c>
      <c r="J20" s="19">
        <f>'[1]в тариф на 2020-2021р'!L20</f>
        <v>51.72</v>
      </c>
      <c r="K20" s="56">
        <f>ROUND(J20/J13*1000,2)-0.01</f>
        <v>73.75999999999999</v>
      </c>
      <c r="L20" s="55">
        <f>'[1]в тариф на 2020-2021р'!M20</f>
        <v>2.52</v>
      </c>
      <c r="M20" s="34">
        <f>L20/$L$13*1000+0.04</f>
        <v>73.76085539595707</v>
      </c>
    </row>
    <row r="21" spans="1:13" ht="15">
      <c r="A21" s="22" t="s">
        <v>24</v>
      </c>
      <c r="B21" s="31" t="s">
        <v>25</v>
      </c>
      <c r="C21" s="37" t="s">
        <v>13</v>
      </c>
      <c r="D21" s="16">
        <v>2644.33</v>
      </c>
      <c r="E21" s="25">
        <v>2644.33</v>
      </c>
      <c r="F21" s="54">
        <f>'[1]в тариф на 2020-2021р'!J21</f>
        <v>857.22</v>
      </c>
      <c r="G21" s="56">
        <f>ROUND(F21/F13*1000,2)</f>
        <v>85.52</v>
      </c>
      <c r="H21" s="19">
        <f>'[1]в тариф на 2020-2021р'!K21</f>
        <v>7682.75</v>
      </c>
      <c r="I21" s="56">
        <f>ROUND(H21/H13*1000,2)</f>
        <v>830.69</v>
      </c>
      <c r="J21" s="19">
        <f>'[1]в тариф на 2020-2021р'!L21</f>
        <v>579.41</v>
      </c>
      <c r="K21" s="56">
        <v>826.38</v>
      </c>
      <c r="L21" s="55">
        <f>'[1]в тариф на 2020-2021р'!M21</f>
        <v>28.4</v>
      </c>
      <c r="M21" s="34">
        <f>L21/$L$13*1000-0.13</f>
        <v>830.6923385893573</v>
      </c>
    </row>
    <row r="22" spans="1:13" ht="15">
      <c r="A22" s="22" t="s">
        <v>26</v>
      </c>
      <c r="B22" s="38" t="s">
        <v>27</v>
      </c>
      <c r="C22" s="37" t="s">
        <v>13</v>
      </c>
      <c r="D22" s="16">
        <v>581.75</v>
      </c>
      <c r="E22" s="25">
        <v>581.75</v>
      </c>
      <c r="F22" s="54">
        <f>'[1]в тариф на 2020-2021р'!J22</f>
        <v>188.59</v>
      </c>
      <c r="G22" s="56">
        <f>ROUND(F22/F13*1000,2)</f>
        <v>18.81</v>
      </c>
      <c r="H22" s="19">
        <f>'[1]в тариф на 2020-2021р'!K22</f>
        <v>1689.59</v>
      </c>
      <c r="I22" s="56">
        <f>ROUND(H22/H13*1000,2)</f>
        <v>182.68</v>
      </c>
      <c r="J22" s="19">
        <f>'[1]в тариф на 2020-2021р'!L22</f>
        <v>128.08</v>
      </c>
      <c r="K22" s="56">
        <f>ROUND(J22/J13*1000,2)</f>
        <v>182.67</v>
      </c>
      <c r="L22" s="55">
        <f>'[1]в тариф на 2020-2021р'!M22</f>
        <v>6.24</v>
      </c>
      <c r="M22" s="34">
        <f>L22/$L$13*1000+0.13</f>
        <v>182.67688002808413</v>
      </c>
    </row>
    <row r="23" spans="1:13" ht="15">
      <c r="A23" s="22" t="s">
        <v>28</v>
      </c>
      <c r="B23" s="31" t="s">
        <v>29</v>
      </c>
      <c r="C23" s="37" t="s">
        <v>13</v>
      </c>
      <c r="D23" s="16">
        <v>137.52</v>
      </c>
      <c r="E23" s="25">
        <v>137.52</v>
      </c>
      <c r="F23" s="54">
        <f>'[1]в тариф на 2020-2021р'!J23</f>
        <v>42.54</v>
      </c>
      <c r="G23" s="56">
        <f>ROUND(F23/F13*1000,2)</f>
        <v>4.24</v>
      </c>
      <c r="H23" s="19">
        <f>'[1]в тариф на 2020-2021р'!K23</f>
        <v>381.16</v>
      </c>
      <c r="I23" s="56">
        <f>ROUND(H23/H13*1000,2)</f>
        <v>41.21</v>
      </c>
      <c r="J23" s="19">
        <f>'[1]в тариф на 2020-2021р'!L23</f>
        <v>28.9</v>
      </c>
      <c r="K23" s="56">
        <f>ROUND(J23/J13*1000,2)-0.01</f>
        <v>41.21</v>
      </c>
      <c r="L23" s="55">
        <f>'[1]в тариф на 2020-2021р'!M23</f>
        <v>1.41</v>
      </c>
      <c r="M23" s="34">
        <f>L23/$L$13*1000-0.04</f>
        <v>41.208573852499775</v>
      </c>
    </row>
    <row r="24" spans="1:13" ht="15">
      <c r="A24" s="22" t="s">
        <v>30</v>
      </c>
      <c r="B24" s="31" t="s">
        <v>31</v>
      </c>
      <c r="C24" s="37" t="s">
        <v>13</v>
      </c>
      <c r="D24" s="16">
        <v>330.73</v>
      </c>
      <c r="E24" s="25">
        <v>330.73</v>
      </c>
      <c r="F24" s="54">
        <f>'[1]в тариф на 2020-2021р'!J24</f>
        <v>90.52</v>
      </c>
      <c r="G24" s="56">
        <f>ROUND(F24/F13*1000,2)</f>
        <v>9.03</v>
      </c>
      <c r="H24" s="19">
        <f>'[1]в тариф на 2020-2021р'!K24</f>
        <v>810.94</v>
      </c>
      <c r="I24" s="56">
        <f>ROUND(H24/H13*1000,2)</f>
        <v>87.68</v>
      </c>
      <c r="J24" s="19">
        <f>'[1]в тариф на 2020-2021р'!L24</f>
        <v>61.48</v>
      </c>
      <c r="K24" s="56">
        <f>ROUND(J24/J13*1000,2)-0.01</f>
        <v>87.67999999999999</v>
      </c>
      <c r="L24" s="55">
        <f>'[1]в тариф на 2020-2021р'!M24</f>
        <v>3</v>
      </c>
      <c r="M24" s="34">
        <f>L24/$L$13*1000-0.08</f>
        <v>87.68292309042506</v>
      </c>
    </row>
    <row r="25" spans="1:13" ht="26.25">
      <c r="A25" s="22">
        <v>4</v>
      </c>
      <c r="B25" s="28" t="s">
        <v>32</v>
      </c>
      <c r="C25" s="37" t="s">
        <v>13</v>
      </c>
      <c r="D25" s="16">
        <v>2232.8</v>
      </c>
      <c r="E25" s="25">
        <v>2232.8</v>
      </c>
      <c r="F25" s="52">
        <f>'[1]в тариф на 2020-2021р'!J25</f>
        <v>1381.81</v>
      </c>
      <c r="G25" s="26">
        <f>G26+G27+G28+G29+G30</f>
        <v>137.85</v>
      </c>
      <c r="H25" s="26">
        <f>H26+H27+H28+H29+H30</f>
        <v>1274.96</v>
      </c>
      <c r="I25" s="26">
        <f>I26+I27+I28+I29+I30</f>
        <v>137.85</v>
      </c>
      <c r="J25" s="53">
        <f>'[1]в тариф на 2020-2021р'!L25</f>
        <v>96.67</v>
      </c>
      <c r="K25" s="52">
        <f>K26+K27+K28+K29+K30</f>
        <v>137.85</v>
      </c>
      <c r="L25" s="58">
        <f>L26+L27+L28+L29+L30</f>
        <v>4.71</v>
      </c>
      <c r="M25" s="58">
        <f>M26+M27+M28+M29+M30</f>
        <v>137.84778925196736</v>
      </c>
    </row>
    <row r="26" spans="1:13" ht="15">
      <c r="A26" s="22">
        <v>4.1</v>
      </c>
      <c r="B26" s="31" t="s">
        <v>33</v>
      </c>
      <c r="C26" s="37" t="s">
        <v>13</v>
      </c>
      <c r="D26" s="16">
        <v>174.34</v>
      </c>
      <c r="E26" s="25">
        <v>174.34</v>
      </c>
      <c r="F26" s="54">
        <f>'[1]в тариф на 2020-2021р'!J26</f>
        <v>157.09</v>
      </c>
      <c r="G26" s="56">
        <f>ROUND(F26/F13*1000,2)</f>
        <v>15.67</v>
      </c>
      <c r="H26" s="19">
        <f>'[1]в тариф на 2020-2021р'!K26</f>
        <v>144.94</v>
      </c>
      <c r="I26" s="56">
        <f>ROUND(H26/H13*1000,2)</f>
        <v>15.67</v>
      </c>
      <c r="J26" s="19">
        <f>'[1]в тариф на 2020-2021р'!L26</f>
        <v>10.99</v>
      </c>
      <c r="K26" s="56">
        <f>ROUND(J26/J13*1000,2)</f>
        <v>15.67</v>
      </c>
      <c r="L26" s="55">
        <f>'[1]в тариф на 2020-2021р'!M26</f>
        <v>0.54</v>
      </c>
      <c r="M26" s="34">
        <f>L26/$L$13*1000-0.13</f>
        <v>15.667326156276513</v>
      </c>
    </row>
    <row r="27" spans="1:13" ht="15">
      <c r="A27" s="22">
        <v>4.2</v>
      </c>
      <c r="B27" s="31" t="s">
        <v>25</v>
      </c>
      <c r="C27" s="37" t="s">
        <v>13</v>
      </c>
      <c r="D27" s="16">
        <v>1640.52</v>
      </c>
      <c r="E27" s="25">
        <v>1640.52</v>
      </c>
      <c r="F27" s="54">
        <f>'[1]в тариф на 2020-2021р'!J27</f>
        <v>890.61</v>
      </c>
      <c r="G27" s="56">
        <f>ROUND(F27/F13*1000,2)</f>
        <v>88.85</v>
      </c>
      <c r="H27" s="19">
        <f>'[1]в тариф на 2020-2021р'!K27</f>
        <v>821.75</v>
      </c>
      <c r="I27" s="56">
        <f>ROUND(H27/H13*1000,2)</f>
        <v>88.85</v>
      </c>
      <c r="J27" s="19">
        <f>'[1]в тариф на 2020-2021р'!L27</f>
        <v>62.3</v>
      </c>
      <c r="K27" s="56">
        <f>ROUND(J27/J13*1000,2)</f>
        <v>88.85</v>
      </c>
      <c r="L27" s="55">
        <f>'[1]в тариф на 2020-2021р'!M27</f>
        <v>3.04</v>
      </c>
      <c r="M27" s="34">
        <f>L27/$L$13*1000-0.08</f>
        <v>88.8530953982974</v>
      </c>
    </row>
    <row r="28" spans="1:13" ht="15">
      <c r="A28" s="22">
        <v>4.3</v>
      </c>
      <c r="B28" s="31" t="s">
        <v>34</v>
      </c>
      <c r="C28" s="37" t="s">
        <v>13</v>
      </c>
      <c r="D28" s="16">
        <v>360.91</v>
      </c>
      <c r="E28" s="25">
        <v>360.91</v>
      </c>
      <c r="F28" s="54">
        <f>'[1]в тариф на 2020-2021р'!J28</f>
        <v>195.93</v>
      </c>
      <c r="G28" s="56">
        <f>ROUND(F28/F13*1000,2)</f>
        <v>19.55</v>
      </c>
      <c r="H28" s="19">
        <f>'[1]в тариф на 2020-2021р'!K28</f>
        <v>180.78</v>
      </c>
      <c r="I28" s="56">
        <f>ROUND(H28/H13*1000,2)</f>
        <v>19.55</v>
      </c>
      <c r="J28" s="19">
        <f>'[1]в тариф на 2020-2021р'!L28</f>
        <v>13.71</v>
      </c>
      <c r="K28" s="56">
        <f>ROUND(J28/J13*1000,2)</f>
        <v>19.55</v>
      </c>
      <c r="L28" s="55">
        <f>'[1]в тариф на 2020-2021р'!M28</f>
        <v>0.67</v>
      </c>
      <c r="M28" s="34">
        <f>L28/$L$13*1000-0.05</f>
        <v>19.550386156861595</v>
      </c>
    </row>
    <row r="29" spans="1:13" ht="15">
      <c r="A29" s="22">
        <v>4.4</v>
      </c>
      <c r="B29" s="31" t="s">
        <v>29</v>
      </c>
      <c r="C29" s="37" t="s">
        <v>13</v>
      </c>
      <c r="D29" s="16">
        <v>26.96</v>
      </c>
      <c r="E29" s="25">
        <v>26.96</v>
      </c>
      <c r="F29" s="54">
        <f>'[1]в тариф на 2020-2021р'!J29</f>
        <v>97.34</v>
      </c>
      <c r="G29" s="56">
        <f>ROUND(F29/F13*1000,2)</f>
        <v>9.71</v>
      </c>
      <c r="H29" s="19">
        <f>'[1]в тариф на 2020-2021р'!K29</f>
        <v>89.81</v>
      </c>
      <c r="I29" s="56">
        <f>ROUND(H29/H13*1000,2)</f>
        <v>9.71</v>
      </c>
      <c r="J29" s="19">
        <f>'[1]в тариф на 2020-2021р'!L29</f>
        <v>6.81</v>
      </c>
      <c r="K29" s="56">
        <f>ROUND(J29/J13*1000,2)</f>
        <v>9.71</v>
      </c>
      <c r="L29" s="55">
        <f>'[1]в тариф на 2020-2021р'!M29</f>
        <v>0.32</v>
      </c>
      <c r="M29" s="34">
        <f>L29/$L$13*1000+0.35</f>
        <v>9.711378462978674</v>
      </c>
    </row>
    <row r="30" spans="1:13" ht="15">
      <c r="A30" s="22">
        <v>4.5</v>
      </c>
      <c r="B30" s="31" t="s">
        <v>35</v>
      </c>
      <c r="C30" s="37" t="s">
        <v>13</v>
      </c>
      <c r="D30" s="16">
        <v>30.07</v>
      </c>
      <c r="E30" s="25">
        <v>30.07</v>
      </c>
      <c r="F30" s="54">
        <f>'[1]в тариф на 2020-2021р'!J30</f>
        <v>40.84</v>
      </c>
      <c r="G30" s="56">
        <f>ROUND(F30/F13*1000,2)</f>
        <v>4.07</v>
      </c>
      <c r="H30" s="19">
        <f>'[1]в тариф на 2020-2021р'!K30</f>
        <v>37.68</v>
      </c>
      <c r="I30" s="56">
        <f>ROUND(H30/H13*1000,2)</f>
        <v>4.07</v>
      </c>
      <c r="J30" s="19">
        <f>'[1]в тариф на 2020-2021р'!L30</f>
        <v>2.86</v>
      </c>
      <c r="K30" s="56">
        <f>ROUND(J30/J13*1000,2)-0.01</f>
        <v>4.07</v>
      </c>
      <c r="L30" s="55">
        <f>'[1]в тариф на 2020-2021р'!M30</f>
        <v>0.14</v>
      </c>
      <c r="M30" s="34">
        <f>L30/$L$13*1000-0.03</f>
        <v>4.06560307755317</v>
      </c>
    </row>
    <row r="31" spans="1:13" ht="26.25">
      <c r="A31" s="22">
        <v>5</v>
      </c>
      <c r="B31" s="28" t="s">
        <v>36</v>
      </c>
      <c r="C31" s="37" t="s">
        <v>13</v>
      </c>
      <c r="D31" s="16">
        <v>1469.73</v>
      </c>
      <c r="E31" s="25">
        <v>1469.73</v>
      </c>
      <c r="F31" s="52">
        <f>'[1]в тариф на 2020-2021р'!J31</f>
        <v>1559.9399999999998</v>
      </c>
      <c r="G31" s="26">
        <f>G32+G33+G34+G35+G36</f>
        <v>155.63999999999996</v>
      </c>
      <c r="H31" s="26">
        <f>H32+H33+H34+H35+H36</f>
        <v>1439.33</v>
      </c>
      <c r="I31" s="26">
        <f>I32+I33+I34+I35+I36</f>
        <v>155.63999999999996</v>
      </c>
      <c r="J31" s="53">
        <f>'[1]в тариф на 2020-2021р'!L31</f>
        <v>109.10999999999999</v>
      </c>
      <c r="K31" s="52">
        <f>K32+K33+K34+K35+K36</f>
        <v>155.63999999999996</v>
      </c>
      <c r="L31" s="58">
        <f>L32+L33+L34+L35+L36</f>
        <v>5.319999999999999</v>
      </c>
      <c r="M31" s="58">
        <f>M32+M33+M34+M35+M36</f>
        <v>155.64291694702044</v>
      </c>
    </row>
    <row r="32" spans="1:13" ht="15">
      <c r="A32" s="22">
        <v>5.1</v>
      </c>
      <c r="B32" s="31" t="s">
        <v>37</v>
      </c>
      <c r="C32" s="37" t="s">
        <v>13</v>
      </c>
      <c r="D32" s="16">
        <v>73.49</v>
      </c>
      <c r="E32" s="25">
        <v>73.49</v>
      </c>
      <c r="F32" s="54">
        <f>'[1]в тариф на 2020-2021р'!J32</f>
        <v>41.36</v>
      </c>
      <c r="G32" s="56">
        <f>ROUND(F32/F13*1000,2)</f>
        <v>4.13</v>
      </c>
      <c r="H32" s="19">
        <f>'[1]в тариф на 2020-2021р'!K32</f>
        <v>38.16</v>
      </c>
      <c r="I32" s="56">
        <f>ROUND(H32/H13*1000,2)</f>
        <v>4.13</v>
      </c>
      <c r="J32" s="19">
        <f>'[1]в тариф на 2020-2021р'!L32</f>
        <v>2.89</v>
      </c>
      <c r="K32" s="56">
        <f>ROUND(J32/J13*1000,2)+0.01</f>
        <v>4.13</v>
      </c>
      <c r="L32" s="55">
        <f>'[1]в тариф на 2020-2021р'!M32</f>
        <v>0.14</v>
      </c>
      <c r="M32" s="34">
        <f>L32/$L$13*1000+0.03</f>
        <v>4.125603077553171</v>
      </c>
    </row>
    <row r="33" spans="1:13" ht="15">
      <c r="A33" s="22">
        <v>5.2</v>
      </c>
      <c r="B33" s="31" t="s">
        <v>25</v>
      </c>
      <c r="C33" s="37" t="s">
        <v>13</v>
      </c>
      <c r="D33" s="16">
        <v>1066.27</v>
      </c>
      <c r="E33" s="25">
        <v>1066.27</v>
      </c>
      <c r="F33" s="54">
        <f>'[1]в тариф на 2020-2021р'!J33</f>
        <v>1172.17</v>
      </c>
      <c r="G33" s="56">
        <f>ROUND(F33/F13*1000,2)</f>
        <v>116.94</v>
      </c>
      <c r="H33" s="19">
        <f>'[1]в тариф на 2020-2021р'!K33</f>
        <v>1081.54</v>
      </c>
      <c r="I33" s="56">
        <f>ROUND(H33/H13*1000,2)</f>
        <v>116.94</v>
      </c>
      <c r="J33" s="19">
        <f>'[1]в тариф на 2020-2021р'!L33</f>
        <v>81.99</v>
      </c>
      <c r="K33" s="56">
        <f>ROUND(J33/J13*1000,2)</f>
        <v>116.94</v>
      </c>
      <c r="L33" s="55">
        <f>'[1]в тариф на 2020-2021р'!M33</f>
        <v>4</v>
      </c>
      <c r="M33" s="34">
        <f>L33/$L$13*1000-0.08</f>
        <v>116.93723078723342</v>
      </c>
    </row>
    <row r="34" spans="1:13" ht="15">
      <c r="A34" s="22">
        <v>5.3</v>
      </c>
      <c r="B34" s="38" t="s">
        <v>27</v>
      </c>
      <c r="C34" s="37" t="s">
        <v>13</v>
      </c>
      <c r="D34" s="16">
        <v>234.58</v>
      </c>
      <c r="E34" s="25">
        <v>234.58</v>
      </c>
      <c r="F34" s="54">
        <f>'[1]в тариф на 2020-2021р'!J34</f>
        <v>257.88</v>
      </c>
      <c r="G34" s="56">
        <f>ROUND(F34/F13*1000,2)</f>
        <v>25.73</v>
      </c>
      <c r="H34" s="19">
        <f>'[1]в тариф на 2020-2021р'!K34</f>
        <v>237.94</v>
      </c>
      <c r="I34" s="56">
        <f>ROUND(H34/H13*1000,2)</f>
        <v>25.73</v>
      </c>
      <c r="J34" s="19">
        <f>'[1]в тариф на 2020-2021р'!L34</f>
        <v>18.04</v>
      </c>
      <c r="K34" s="56">
        <f>ROUND(J34/J13*1000,2)</f>
        <v>25.73</v>
      </c>
      <c r="L34" s="55">
        <f>'[1]в тариф на 2020-2021р'!M34</f>
        <v>0.88</v>
      </c>
      <c r="M34" s="34">
        <f>L34/$L$13*1000-0.01</f>
        <v>25.73379077319135</v>
      </c>
    </row>
    <row r="35" spans="1:13" ht="15">
      <c r="A35" s="22">
        <v>5.4</v>
      </c>
      <c r="B35" s="31" t="s">
        <v>29</v>
      </c>
      <c r="C35" s="37" t="s">
        <v>13</v>
      </c>
      <c r="D35" s="16">
        <v>2.58</v>
      </c>
      <c r="E35" s="25">
        <v>2.58</v>
      </c>
      <c r="F35" s="54">
        <f>'[1]в тариф на 2020-2021р'!J35</f>
        <v>3.87</v>
      </c>
      <c r="G35" s="56">
        <f>ROUND(F35/F13*1000,2)</f>
        <v>0.39</v>
      </c>
      <c r="H35" s="19">
        <f>'[1]в тариф на 2020-2021р'!K35</f>
        <v>3.57</v>
      </c>
      <c r="I35" s="56">
        <f>ROUND(H35/H13*1000,2)</f>
        <v>0.39</v>
      </c>
      <c r="J35" s="19">
        <f>'[1]в тариф на 2020-2021р'!L35</f>
        <v>0.27</v>
      </c>
      <c r="K35" s="56">
        <f>ROUND(J35/J13*1000,2)</f>
        <v>0.39</v>
      </c>
      <c r="L35" s="55">
        <f>'[1]в тариф на 2020-2021р'!M35</f>
        <v>0.01</v>
      </c>
      <c r="M35" s="34">
        <f>L35/$L$13*1000+0.1</f>
        <v>0.39254307696808355</v>
      </c>
    </row>
    <row r="36" spans="1:13" ht="15">
      <c r="A36" s="22">
        <v>5.5</v>
      </c>
      <c r="B36" s="31" t="s">
        <v>38</v>
      </c>
      <c r="C36" s="37" t="s">
        <v>13</v>
      </c>
      <c r="D36" s="16">
        <v>92.81</v>
      </c>
      <c r="E36" s="25">
        <v>92.81</v>
      </c>
      <c r="F36" s="54">
        <f>'[1]в тариф на 2020-2021р'!J36</f>
        <v>84.66</v>
      </c>
      <c r="G36" s="56">
        <f>ROUND(F36/F13*1000,2)</f>
        <v>8.45</v>
      </c>
      <c r="H36" s="19">
        <f>'[1]в тариф на 2020-2021р'!K36</f>
        <v>78.12</v>
      </c>
      <c r="I36" s="56">
        <f>ROUND(H36/H13*1000,2)</f>
        <v>8.45</v>
      </c>
      <c r="J36" s="19">
        <f>'[1]в тариф на 2020-2021р'!L36</f>
        <v>5.92</v>
      </c>
      <c r="K36" s="56">
        <f>ROUND(J36/J13*1000,2)+0.01</f>
        <v>8.45</v>
      </c>
      <c r="L36" s="55">
        <f>'[1]в тариф на 2020-2021р'!M36</f>
        <v>0.29</v>
      </c>
      <c r="M36" s="34">
        <f>L36/$L$13*1000-0.03</f>
        <v>8.453749232074424</v>
      </c>
    </row>
    <row r="37" spans="1:13" ht="15">
      <c r="A37" s="22">
        <v>6</v>
      </c>
      <c r="B37" s="31" t="s">
        <v>39</v>
      </c>
      <c r="C37" s="37" t="s">
        <v>13</v>
      </c>
      <c r="D37" s="16">
        <v>0</v>
      </c>
      <c r="E37" s="25">
        <v>0</v>
      </c>
      <c r="F37" s="54">
        <f>'[1]в тариф на 2020-2021р'!J37</f>
        <v>696.22</v>
      </c>
      <c r="G37" s="56">
        <f>ROUND(F37/F13*1000,2)-0.01</f>
        <v>69.44999999999999</v>
      </c>
      <c r="H37" s="19">
        <f>'[1]в тариф на 2020-2021р'!K37</f>
        <v>1513.19</v>
      </c>
      <c r="I37" s="56">
        <f>ROUND(H37/H13*1000,2)</f>
        <v>163.61</v>
      </c>
      <c r="J37" s="19">
        <f>'[1]в тариф на 2020-2021р'!L37</f>
        <v>148.06</v>
      </c>
      <c r="K37" s="56">
        <f>ROUND(J37/K13*1000,2)-0.01</f>
        <v>211.16</v>
      </c>
      <c r="L37" s="55">
        <f>'[1]в тариф на 2020-2021р'!M37</f>
        <v>5.59</v>
      </c>
      <c r="M37" s="34">
        <f>L37/$L$13*1000+0.08</f>
        <v>163.6115800251587</v>
      </c>
    </row>
    <row r="38" spans="1:13" ht="26.25">
      <c r="A38" s="22">
        <v>7</v>
      </c>
      <c r="B38" s="31" t="s">
        <v>46</v>
      </c>
      <c r="C38" s="37" t="s">
        <v>13</v>
      </c>
      <c r="D38" s="19">
        <v>34888.21</v>
      </c>
      <c r="E38" s="25">
        <v>34888.21</v>
      </c>
      <c r="F38" s="59">
        <f>F31+F25+F15+F37</f>
        <v>18101.595</v>
      </c>
      <c r="G38" s="59"/>
      <c r="H38" s="59">
        <f>H31+H25+H15+H37</f>
        <v>39342.82000000001</v>
      </c>
      <c r="I38" s="59"/>
      <c r="J38" s="59">
        <f>J31+J25+J15+J37</f>
        <v>3849.56</v>
      </c>
      <c r="K38" s="59"/>
      <c r="L38" s="59">
        <f>L31+L25+L15+L37</f>
        <v>145.416</v>
      </c>
      <c r="M38" s="12"/>
    </row>
    <row r="39" spans="1:13" ht="26.25">
      <c r="A39" s="22">
        <v>8</v>
      </c>
      <c r="B39" s="28" t="s">
        <v>47</v>
      </c>
      <c r="C39" s="42" t="s">
        <v>9</v>
      </c>
      <c r="D39" s="53">
        <v>1519.8258361866926</v>
      </c>
      <c r="E39" s="29"/>
      <c r="F39" s="53"/>
      <c r="G39" s="60">
        <f>F38/F13*1000</f>
        <v>1805.8665939329026</v>
      </c>
      <c r="H39" s="60"/>
      <c r="I39" s="60">
        <f>H38/I13*1000</f>
        <v>4253.879359373196</v>
      </c>
      <c r="J39" s="60"/>
      <c r="K39" s="60">
        <f>J38/J13*1000</f>
        <v>5490.390718039777</v>
      </c>
      <c r="L39" s="60"/>
      <c r="M39" s="60">
        <f>L38/M13*1000-0.16</f>
        <v>4253.884408039084</v>
      </c>
    </row>
    <row r="42" spans="2:12" ht="33.75" customHeight="1">
      <c r="B42" s="115" t="s">
        <v>72</v>
      </c>
      <c r="C42" s="115"/>
      <c r="D42" s="1"/>
      <c r="E42" s="1"/>
      <c r="F42" s="1"/>
      <c r="G42" s="1"/>
      <c r="H42" s="1"/>
      <c r="L42" t="s">
        <v>73</v>
      </c>
    </row>
    <row r="44" spans="2:12" ht="1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2:12" ht="1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</sheetData>
  <sheetProtection/>
  <mergeCells count="9">
    <mergeCell ref="B42:C42"/>
    <mergeCell ref="J8:K10"/>
    <mergeCell ref="L8:M10"/>
    <mergeCell ref="A6:M6"/>
    <mergeCell ref="A8:A11"/>
    <mergeCell ref="B8:B11"/>
    <mergeCell ref="C8:C11"/>
    <mergeCell ref="F8:G10"/>
    <mergeCell ref="H8:I1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PageLayoutView="0" workbookViewId="0" topLeftCell="A1">
      <selection activeCell="O36" sqref="O36"/>
    </sheetView>
  </sheetViews>
  <sheetFormatPr defaultColWidth="9.140625" defaultRowHeight="15"/>
  <cols>
    <col min="1" max="1" width="5.7109375" style="61" customWidth="1"/>
    <col min="2" max="2" width="28.57421875" style="61" customWidth="1"/>
    <col min="3" max="3" width="9.57421875" style="61" customWidth="1"/>
    <col min="4" max="4" width="10.28125" style="61" hidden="1" customWidth="1"/>
    <col min="5" max="5" width="9.7109375" style="61" hidden="1" customWidth="1"/>
    <col min="6" max="6" width="11.8515625" style="61" customWidth="1"/>
    <col min="7" max="7" width="11.7109375" style="61" customWidth="1"/>
    <col min="8" max="8" width="10.7109375" style="61" customWidth="1"/>
    <col min="9" max="9" width="10.00390625" style="61" customWidth="1"/>
    <col min="10" max="10" width="13.8515625" style="61" customWidth="1"/>
    <col min="11" max="16384" width="9.140625" style="61" customWidth="1"/>
  </cols>
  <sheetData>
    <row r="1" spans="8:10" ht="15.75">
      <c r="H1" t="s">
        <v>51</v>
      </c>
      <c r="I1" s="62"/>
      <c r="J1" s="62"/>
    </row>
    <row r="2" spans="8:10" ht="15.75">
      <c r="H2" t="s">
        <v>43</v>
      </c>
      <c r="I2" s="62"/>
      <c r="J2" s="62"/>
    </row>
    <row r="3" spans="8:10" ht="15.75">
      <c r="H3" t="s">
        <v>44</v>
      </c>
      <c r="I3" s="62"/>
      <c r="J3" s="62"/>
    </row>
    <row r="4" spans="8:10" ht="15.75">
      <c r="H4" s="61" t="s">
        <v>71</v>
      </c>
      <c r="I4" s="62"/>
      <c r="J4" s="62"/>
    </row>
    <row r="6" spans="1:10" ht="42" customHeight="1">
      <c r="A6" s="116" t="s">
        <v>52</v>
      </c>
      <c r="B6" s="116"/>
      <c r="C6" s="116"/>
      <c r="D6" s="116"/>
      <c r="E6" s="116"/>
      <c r="F6" s="116"/>
      <c r="G6" s="116"/>
      <c r="H6" s="116"/>
      <c r="I6" s="116"/>
      <c r="J6" s="116"/>
    </row>
    <row r="8" spans="1:10" ht="15">
      <c r="A8" s="117" t="s">
        <v>1</v>
      </c>
      <c r="B8" s="117" t="s">
        <v>2</v>
      </c>
      <c r="C8" s="117" t="s">
        <v>3</v>
      </c>
      <c r="D8" s="63"/>
      <c r="E8" s="63"/>
      <c r="F8" s="99" t="s">
        <v>5</v>
      </c>
      <c r="G8" s="100"/>
      <c r="H8" s="99" t="s">
        <v>6</v>
      </c>
      <c r="I8" s="100"/>
      <c r="J8" s="120" t="s">
        <v>7</v>
      </c>
    </row>
    <row r="9" spans="1:10" ht="15">
      <c r="A9" s="118"/>
      <c r="B9" s="107"/>
      <c r="C9" s="107"/>
      <c r="D9" s="64"/>
      <c r="E9" s="65"/>
      <c r="F9" s="101"/>
      <c r="G9" s="102"/>
      <c r="H9" s="101"/>
      <c r="I9" s="102"/>
      <c r="J9" s="121"/>
    </row>
    <row r="10" spans="1:10" ht="15">
      <c r="A10" s="118"/>
      <c r="B10" s="107"/>
      <c r="C10" s="107"/>
      <c r="D10" s="66"/>
      <c r="E10" s="66"/>
      <c r="F10" s="103"/>
      <c r="G10" s="104"/>
      <c r="H10" s="103"/>
      <c r="I10" s="104"/>
      <c r="J10" s="122"/>
    </row>
    <row r="11" spans="1:10" ht="25.5">
      <c r="A11" s="119"/>
      <c r="B11" s="108"/>
      <c r="C11" s="108"/>
      <c r="D11" s="67"/>
      <c r="E11" s="67"/>
      <c r="F11" s="67" t="s">
        <v>8</v>
      </c>
      <c r="G11" s="68" t="s">
        <v>9</v>
      </c>
      <c r="H11" s="67" t="s">
        <v>8</v>
      </c>
      <c r="I11" s="68" t="s">
        <v>9</v>
      </c>
      <c r="J11" s="68" t="s">
        <v>9</v>
      </c>
    </row>
    <row r="12" spans="1:10" ht="15">
      <c r="A12" s="69">
        <v>1</v>
      </c>
      <c r="B12" s="70">
        <v>2</v>
      </c>
      <c r="C12" s="71">
        <v>3</v>
      </c>
      <c r="D12" s="72">
        <v>4</v>
      </c>
      <c r="E12" s="73"/>
      <c r="F12" s="73">
        <v>6</v>
      </c>
      <c r="G12" s="73">
        <v>7</v>
      </c>
      <c r="H12" s="73">
        <v>8</v>
      </c>
      <c r="I12" s="73">
        <v>9</v>
      </c>
      <c r="J12" s="73">
        <v>10</v>
      </c>
    </row>
    <row r="13" spans="1:10" ht="15">
      <c r="A13" s="74">
        <v>1</v>
      </c>
      <c r="B13" s="75" t="s">
        <v>10</v>
      </c>
      <c r="C13" s="15" t="s">
        <v>11</v>
      </c>
      <c r="D13" s="16">
        <v>22955.4</v>
      </c>
      <c r="E13" s="17"/>
      <c r="F13" s="20">
        <v>9248.692</v>
      </c>
      <c r="G13" s="20">
        <v>9248.692</v>
      </c>
      <c r="H13" s="20">
        <v>701.145</v>
      </c>
      <c r="I13" s="20">
        <v>701.145</v>
      </c>
      <c r="J13" s="51">
        <v>1</v>
      </c>
    </row>
    <row r="14" spans="1:10" ht="30">
      <c r="A14" s="76">
        <v>2</v>
      </c>
      <c r="B14" s="23" t="s">
        <v>12</v>
      </c>
      <c r="C14" s="24" t="s">
        <v>13</v>
      </c>
      <c r="D14" s="53">
        <v>34888.21</v>
      </c>
      <c r="E14" s="30">
        <v>34888.21</v>
      </c>
      <c r="F14" s="77">
        <v>1013.8299999999999</v>
      </c>
      <c r="G14" s="77">
        <v>109.63000000000001</v>
      </c>
      <c r="H14" s="77">
        <v>76.94099999999986</v>
      </c>
      <c r="I14" s="77">
        <v>109.63000000000001</v>
      </c>
      <c r="J14" s="77">
        <v>109.62</v>
      </c>
    </row>
    <row r="15" spans="1:10" ht="26.25">
      <c r="A15" s="76">
        <v>3</v>
      </c>
      <c r="B15" s="31" t="s">
        <v>14</v>
      </c>
      <c r="C15" s="32" t="s">
        <v>13</v>
      </c>
      <c r="D15" s="16">
        <v>31185.68</v>
      </c>
      <c r="E15" s="25">
        <v>31185.68</v>
      </c>
      <c r="F15" s="59">
        <v>795.9</v>
      </c>
      <c r="G15" s="59">
        <v>86.06</v>
      </c>
      <c r="H15" s="59">
        <v>60.41799999999988</v>
      </c>
      <c r="I15" s="59">
        <v>86.06</v>
      </c>
      <c r="J15" s="59">
        <v>86.05</v>
      </c>
    </row>
    <row r="16" spans="1:10" ht="26.25">
      <c r="A16" s="76">
        <v>3.1</v>
      </c>
      <c r="B16" s="31" t="s">
        <v>15</v>
      </c>
      <c r="C16" s="32" t="s">
        <v>13</v>
      </c>
      <c r="D16" s="16">
        <v>27491.35</v>
      </c>
      <c r="E16" s="25">
        <v>27491.35</v>
      </c>
      <c r="F16" s="59">
        <v>318.76</v>
      </c>
      <c r="G16" s="59">
        <v>34.47</v>
      </c>
      <c r="H16" s="59">
        <v>24.239999999999974</v>
      </c>
      <c r="I16" s="59">
        <v>34.47</v>
      </c>
      <c r="J16" s="59">
        <v>34.46</v>
      </c>
    </row>
    <row r="17" spans="1:10" ht="15">
      <c r="A17" s="76" t="s">
        <v>16</v>
      </c>
      <c r="B17" s="35" t="s">
        <v>17</v>
      </c>
      <c r="C17" s="32" t="s">
        <v>13</v>
      </c>
      <c r="D17" s="16">
        <v>25751.19</v>
      </c>
      <c r="E17" s="25">
        <v>25751.19</v>
      </c>
      <c r="F17" s="59">
        <v>0</v>
      </c>
      <c r="G17" s="56">
        <v>0</v>
      </c>
      <c r="H17" s="59">
        <v>0</v>
      </c>
      <c r="I17" s="51">
        <v>0</v>
      </c>
      <c r="J17" s="78">
        <v>0</v>
      </c>
    </row>
    <row r="18" spans="1:10" ht="25.5">
      <c r="A18" s="76" t="s">
        <v>18</v>
      </c>
      <c r="B18" s="36" t="s">
        <v>19</v>
      </c>
      <c r="C18" s="32" t="s">
        <v>13</v>
      </c>
      <c r="D18" s="16">
        <v>924.52</v>
      </c>
      <c r="E18" s="25">
        <v>924.52</v>
      </c>
      <c r="F18" s="59">
        <v>294.82</v>
      </c>
      <c r="G18" s="56">
        <v>31.88</v>
      </c>
      <c r="H18" s="59">
        <v>22.42</v>
      </c>
      <c r="I18" s="56">
        <v>31.88</v>
      </c>
      <c r="J18" s="78">
        <v>31.87</v>
      </c>
    </row>
    <row r="19" spans="1:10" ht="15">
      <c r="A19" s="76" t="s">
        <v>20</v>
      </c>
      <c r="B19" s="36" t="s">
        <v>21</v>
      </c>
      <c r="C19" s="32" t="s">
        <v>13</v>
      </c>
      <c r="D19" s="16">
        <v>157.7</v>
      </c>
      <c r="E19" s="25">
        <v>157.7</v>
      </c>
      <c r="F19" s="59">
        <v>0</v>
      </c>
      <c r="G19" s="56">
        <v>0</v>
      </c>
      <c r="H19" s="59">
        <v>0</v>
      </c>
      <c r="I19" s="56">
        <v>0</v>
      </c>
      <c r="J19" s="78">
        <v>0</v>
      </c>
    </row>
    <row r="20" spans="1:10" ht="25.5">
      <c r="A20" s="76" t="s">
        <v>22</v>
      </c>
      <c r="B20" s="36" t="s">
        <v>23</v>
      </c>
      <c r="C20" s="37" t="s">
        <v>13</v>
      </c>
      <c r="D20" s="16">
        <v>657.94</v>
      </c>
      <c r="E20" s="25">
        <v>657.94</v>
      </c>
      <c r="F20" s="59">
        <v>23.94</v>
      </c>
      <c r="G20" s="56">
        <v>2.59</v>
      </c>
      <c r="H20" s="59">
        <v>1.8199999999999719</v>
      </c>
      <c r="I20" s="56">
        <v>2.5900000000000003</v>
      </c>
      <c r="J20" s="78">
        <v>2.59</v>
      </c>
    </row>
    <row r="21" spans="1:10" ht="15">
      <c r="A21" s="76" t="s">
        <v>24</v>
      </c>
      <c r="B21" s="31" t="s">
        <v>25</v>
      </c>
      <c r="C21" s="37" t="s">
        <v>13</v>
      </c>
      <c r="D21" s="16">
        <v>2644.33</v>
      </c>
      <c r="E21" s="25">
        <v>2644.33</v>
      </c>
      <c r="F21" s="59">
        <v>363.21</v>
      </c>
      <c r="G21" s="56">
        <v>39.27</v>
      </c>
      <c r="H21" s="59">
        <v>27.54000000000002</v>
      </c>
      <c r="I21" s="56">
        <v>39.27</v>
      </c>
      <c r="J21" s="78">
        <v>39.27</v>
      </c>
    </row>
    <row r="22" spans="1:10" ht="15">
      <c r="A22" s="76" t="s">
        <v>26</v>
      </c>
      <c r="B22" s="38" t="s">
        <v>27</v>
      </c>
      <c r="C22" s="37" t="s">
        <v>13</v>
      </c>
      <c r="D22" s="16">
        <v>581.75</v>
      </c>
      <c r="E22" s="25">
        <v>581.75</v>
      </c>
      <c r="F22" s="59">
        <v>79.91</v>
      </c>
      <c r="G22" s="56">
        <v>8.64</v>
      </c>
      <c r="H22" s="59">
        <v>6.057999999999993</v>
      </c>
      <c r="I22" s="56">
        <v>8.64</v>
      </c>
      <c r="J22" s="78">
        <v>8.64</v>
      </c>
    </row>
    <row r="23" spans="1:10" ht="15">
      <c r="A23" s="76" t="s">
        <v>28</v>
      </c>
      <c r="B23" s="31" t="s">
        <v>29</v>
      </c>
      <c r="C23" s="37" t="s">
        <v>13</v>
      </c>
      <c r="D23" s="16">
        <v>137.52</v>
      </c>
      <c r="E23" s="25">
        <v>137.52</v>
      </c>
      <c r="F23" s="59">
        <v>5.56</v>
      </c>
      <c r="G23" s="56">
        <v>0.6</v>
      </c>
      <c r="H23" s="59">
        <v>0.41999999999999993</v>
      </c>
      <c r="I23" s="56">
        <v>0.6</v>
      </c>
      <c r="J23" s="78">
        <v>0.6</v>
      </c>
    </row>
    <row r="24" spans="1:10" ht="15">
      <c r="A24" s="76" t="s">
        <v>30</v>
      </c>
      <c r="B24" s="31" t="s">
        <v>31</v>
      </c>
      <c r="C24" s="37" t="s">
        <v>13</v>
      </c>
      <c r="D24" s="16">
        <v>330.73</v>
      </c>
      <c r="E24" s="25">
        <v>330.73</v>
      </c>
      <c r="F24" s="59">
        <v>28.46</v>
      </c>
      <c r="G24" s="56">
        <v>3.08</v>
      </c>
      <c r="H24" s="59">
        <v>2.1599999999998936</v>
      </c>
      <c r="I24" s="56">
        <v>3.08</v>
      </c>
      <c r="J24" s="78">
        <v>3.08</v>
      </c>
    </row>
    <row r="25" spans="1:10" ht="26.25">
      <c r="A25" s="79">
        <v>4</v>
      </c>
      <c r="B25" s="28" t="s">
        <v>32</v>
      </c>
      <c r="C25" s="39" t="s">
        <v>13</v>
      </c>
      <c r="D25" s="29">
        <v>2232.8</v>
      </c>
      <c r="E25" s="30">
        <v>2232.8</v>
      </c>
      <c r="F25" s="77">
        <v>98.94</v>
      </c>
      <c r="G25" s="77">
        <v>10.7</v>
      </c>
      <c r="H25" s="77">
        <v>7.503000000000004</v>
      </c>
      <c r="I25" s="77">
        <v>10.7</v>
      </c>
      <c r="J25" s="77">
        <v>10.7</v>
      </c>
    </row>
    <row r="26" spans="1:10" ht="15">
      <c r="A26" s="76">
        <v>4.1</v>
      </c>
      <c r="B26" s="31" t="s">
        <v>33</v>
      </c>
      <c r="C26" s="37" t="s">
        <v>13</v>
      </c>
      <c r="D26" s="16">
        <v>174.34</v>
      </c>
      <c r="E26" s="25">
        <v>174.34</v>
      </c>
      <c r="F26" s="59">
        <v>6.81</v>
      </c>
      <c r="G26" s="56">
        <v>0.74</v>
      </c>
      <c r="H26" s="59">
        <v>0.5200000000000014</v>
      </c>
      <c r="I26" s="56">
        <v>0.74</v>
      </c>
      <c r="J26" s="78">
        <v>0.74</v>
      </c>
    </row>
    <row r="27" spans="1:10" ht="15">
      <c r="A27" s="76">
        <v>4.2</v>
      </c>
      <c r="B27" s="31" t="s">
        <v>25</v>
      </c>
      <c r="C27" s="37" t="s">
        <v>13</v>
      </c>
      <c r="D27" s="16">
        <v>1640.52</v>
      </c>
      <c r="E27" s="25">
        <v>1640.52</v>
      </c>
      <c r="F27" s="59">
        <v>70.6</v>
      </c>
      <c r="G27" s="56">
        <v>7.63</v>
      </c>
      <c r="H27" s="59">
        <v>5.3515000000000015</v>
      </c>
      <c r="I27" s="56">
        <v>7.63</v>
      </c>
      <c r="J27" s="78">
        <v>7.63</v>
      </c>
    </row>
    <row r="28" spans="1:10" ht="15">
      <c r="A28" s="76">
        <v>4.3</v>
      </c>
      <c r="B28" s="31" t="s">
        <v>34</v>
      </c>
      <c r="C28" s="37" t="s">
        <v>13</v>
      </c>
      <c r="D28" s="16">
        <v>360.91</v>
      </c>
      <c r="E28" s="25">
        <v>360.91</v>
      </c>
      <c r="F28" s="59">
        <v>15.53</v>
      </c>
      <c r="G28" s="56">
        <v>1.68</v>
      </c>
      <c r="H28" s="59">
        <v>1.1815000000000015</v>
      </c>
      <c r="I28" s="56">
        <v>1.68</v>
      </c>
      <c r="J28" s="78">
        <v>1.68</v>
      </c>
    </row>
    <row r="29" spans="1:10" ht="15">
      <c r="A29" s="76">
        <v>4.4</v>
      </c>
      <c r="B29" s="31" t="s">
        <v>29</v>
      </c>
      <c r="C29" s="37" t="s">
        <v>13</v>
      </c>
      <c r="D29" s="16">
        <v>26.96</v>
      </c>
      <c r="E29" s="25">
        <v>26.96</v>
      </c>
      <c r="F29" s="59">
        <v>4.22</v>
      </c>
      <c r="G29" s="56">
        <v>0.46</v>
      </c>
      <c r="H29" s="59">
        <v>0.3199999999999994</v>
      </c>
      <c r="I29" s="56">
        <v>0.46</v>
      </c>
      <c r="J29" s="78">
        <v>0.46</v>
      </c>
    </row>
    <row r="30" spans="1:10" ht="15">
      <c r="A30" s="76">
        <v>4.5</v>
      </c>
      <c r="B30" s="31" t="s">
        <v>35</v>
      </c>
      <c r="C30" s="37" t="s">
        <v>13</v>
      </c>
      <c r="D30" s="16">
        <v>30.07</v>
      </c>
      <c r="E30" s="25">
        <v>30.07</v>
      </c>
      <c r="F30" s="59">
        <v>1.78</v>
      </c>
      <c r="G30" s="56">
        <v>0.19</v>
      </c>
      <c r="H30" s="59">
        <v>0.13000000000000012</v>
      </c>
      <c r="I30" s="56">
        <v>0.19</v>
      </c>
      <c r="J30" s="78">
        <v>0.19</v>
      </c>
    </row>
    <row r="31" spans="1:10" ht="26.25">
      <c r="A31" s="79">
        <v>5</v>
      </c>
      <c r="B31" s="28" t="s">
        <v>36</v>
      </c>
      <c r="C31" s="39" t="s">
        <v>13</v>
      </c>
      <c r="D31" s="29">
        <v>1469.73</v>
      </c>
      <c r="E31" s="30">
        <v>1469.73</v>
      </c>
      <c r="F31" s="77">
        <v>118.99000000000001</v>
      </c>
      <c r="G31" s="77">
        <v>12.87</v>
      </c>
      <c r="H31" s="77">
        <v>9.019999999999989</v>
      </c>
      <c r="I31" s="77">
        <v>12.87</v>
      </c>
      <c r="J31" s="77">
        <v>12.87</v>
      </c>
    </row>
    <row r="32" spans="1:10" ht="15">
      <c r="A32" s="76">
        <v>5.1</v>
      </c>
      <c r="B32" s="31" t="s">
        <v>37</v>
      </c>
      <c r="C32" s="37" t="s">
        <v>13</v>
      </c>
      <c r="D32" s="16">
        <v>73.49</v>
      </c>
      <c r="E32" s="25">
        <v>73.49</v>
      </c>
      <c r="F32" s="59">
        <v>1.79</v>
      </c>
      <c r="G32" s="56">
        <v>0.19</v>
      </c>
      <c r="H32" s="59">
        <v>0.14000000000000012</v>
      </c>
      <c r="I32" s="56">
        <v>0.19</v>
      </c>
      <c r="J32" s="78">
        <v>0.19</v>
      </c>
    </row>
    <row r="33" spans="1:10" ht="15">
      <c r="A33" s="76">
        <v>5.2</v>
      </c>
      <c r="B33" s="31" t="s">
        <v>25</v>
      </c>
      <c r="C33" s="37" t="s">
        <v>13</v>
      </c>
      <c r="D33" s="16">
        <v>1066.27</v>
      </c>
      <c r="E33" s="25">
        <v>1066.27</v>
      </c>
      <c r="F33" s="59">
        <v>92.92</v>
      </c>
      <c r="G33" s="56">
        <v>10.05</v>
      </c>
      <c r="H33" s="59">
        <v>7.039999999999992</v>
      </c>
      <c r="I33" s="56">
        <v>10.049999999999999</v>
      </c>
      <c r="J33" s="78">
        <v>10.05</v>
      </c>
    </row>
    <row r="34" spans="1:10" ht="15">
      <c r="A34" s="76">
        <v>5.3</v>
      </c>
      <c r="B34" s="38" t="s">
        <v>27</v>
      </c>
      <c r="C34" s="37" t="s">
        <v>13</v>
      </c>
      <c r="D34" s="16">
        <v>234.58</v>
      </c>
      <c r="E34" s="25">
        <v>234.58</v>
      </c>
      <c r="F34" s="59">
        <v>20.44</v>
      </c>
      <c r="G34" s="56">
        <v>2.21</v>
      </c>
      <c r="H34" s="59">
        <v>1.5499999999999972</v>
      </c>
      <c r="I34" s="56">
        <v>2.21</v>
      </c>
      <c r="J34" s="78">
        <v>2.21</v>
      </c>
    </row>
    <row r="35" spans="1:10" ht="15">
      <c r="A35" s="76">
        <v>5.4</v>
      </c>
      <c r="B35" s="31" t="s">
        <v>29</v>
      </c>
      <c r="C35" s="37" t="s">
        <v>13</v>
      </c>
      <c r="D35" s="16">
        <v>2.58</v>
      </c>
      <c r="E35" s="25">
        <v>2.58</v>
      </c>
      <c r="F35" s="59">
        <v>0.17</v>
      </c>
      <c r="G35" s="56">
        <v>0.02</v>
      </c>
      <c r="H35" s="59">
        <v>0.009999999999999981</v>
      </c>
      <c r="I35" s="56">
        <v>0.02</v>
      </c>
      <c r="J35" s="78">
        <v>0.02</v>
      </c>
    </row>
    <row r="36" spans="1:10" ht="15">
      <c r="A36" s="76">
        <v>5.5</v>
      </c>
      <c r="B36" s="31" t="s">
        <v>38</v>
      </c>
      <c r="C36" s="37" t="s">
        <v>13</v>
      </c>
      <c r="D36" s="16">
        <v>92.81</v>
      </c>
      <c r="E36" s="25">
        <v>92.81</v>
      </c>
      <c r="F36" s="59">
        <v>3.67</v>
      </c>
      <c r="G36" s="56">
        <v>0.4</v>
      </c>
      <c r="H36" s="59">
        <v>0.2799999999999998</v>
      </c>
      <c r="I36" s="56">
        <v>0.4</v>
      </c>
      <c r="J36" s="78">
        <v>0.4</v>
      </c>
    </row>
    <row r="37" spans="1:10" ht="15">
      <c r="A37" s="76">
        <v>6</v>
      </c>
      <c r="B37" s="31" t="s">
        <v>39</v>
      </c>
      <c r="C37" s="37" t="s">
        <v>13</v>
      </c>
      <c r="D37" s="16">
        <v>0</v>
      </c>
      <c r="E37" s="25">
        <v>0</v>
      </c>
      <c r="F37" s="59">
        <v>40.55</v>
      </c>
      <c r="G37" s="56">
        <v>4.38</v>
      </c>
      <c r="H37" s="59">
        <v>3.08</v>
      </c>
      <c r="I37" s="56">
        <v>4.38</v>
      </c>
      <c r="J37" s="59">
        <v>4.38</v>
      </c>
    </row>
    <row r="38" spans="1:10" ht="26.25">
      <c r="A38" s="76">
        <v>7</v>
      </c>
      <c r="B38" s="31" t="s">
        <v>49</v>
      </c>
      <c r="C38" s="37" t="s">
        <v>13</v>
      </c>
      <c r="D38" s="19">
        <v>34888.21</v>
      </c>
      <c r="E38" s="25">
        <v>34888.21</v>
      </c>
      <c r="F38" s="59">
        <v>1054.3799999999999</v>
      </c>
      <c r="G38" s="59"/>
      <c r="H38" s="59">
        <v>80.02099999999986</v>
      </c>
      <c r="I38" s="59"/>
      <c r="J38" s="59">
        <v>114.01</v>
      </c>
    </row>
    <row r="39" spans="1:10" ht="26.25">
      <c r="A39" s="79">
        <v>8</v>
      </c>
      <c r="B39" s="28" t="s">
        <v>50</v>
      </c>
      <c r="C39" s="42" t="s">
        <v>9</v>
      </c>
      <c r="D39" s="53">
        <v>1519.8258361866926</v>
      </c>
      <c r="E39" s="29"/>
      <c r="F39" s="60"/>
      <c r="G39" s="60">
        <v>114.01314768834338</v>
      </c>
      <c r="H39" s="60"/>
      <c r="I39" s="60">
        <v>114.01</v>
      </c>
      <c r="J39" s="60">
        <v>114.01</v>
      </c>
    </row>
    <row r="42" spans="2:12" ht="35.25" customHeight="1">
      <c r="B42" s="115" t="s">
        <v>72</v>
      </c>
      <c r="C42" s="115"/>
      <c r="D42" s="1"/>
      <c r="E42" s="1"/>
      <c r="F42" s="1"/>
      <c r="G42" s="1"/>
      <c r="H42" s="1"/>
      <c r="I42"/>
      <c r="J42" t="s">
        <v>73</v>
      </c>
      <c r="K42"/>
      <c r="L42"/>
    </row>
    <row r="43" spans="2:12" ht="15">
      <c r="B43"/>
      <c r="C43"/>
      <c r="D43"/>
      <c r="E43"/>
      <c r="F43"/>
      <c r="G43"/>
      <c r="H43"/>
      <c r="I43"/>
      <c r="J43"/>
      <c r="K43"/>
      <c r="L43"/>
    </row>
    <row r="44" spans="2:12" ht="1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2:12" ht="1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</sheetData>
  <sheetProtection/>
  <mergeCells count="8">
    <mergeCell ref="B42:C42"/>
    <mergeCell ref="A6:J6"/>
    <mergeCell ref="A8:A11"/>
    <mergeCell ref="B8:B11"/>
    <mergeCell ref="C8:C11"/>
    <mergeCell ref="F8:G10"/>
    <mergeCell ref="H8:I10"/>
    <mergeCell ref="J8:J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PageLayoutView="0" workbookViewId="0" topLeftCell="A1">
      <selection activeCell="T34" sqref="T34"/>
    </sheetView>
  </sheetViews>
  <sheetFormatPr defaultColWidth="9.140625" defaultRowHeight="30" customHeight="1"/>
  <cols>
    <col min="1" max="1" width="5.7109375" style="0" customWidth="1"/>
    <col min="2" max="2" width="28.57421875" style="0" customWidth="1"/>
    <col min="3" max="3" width="9.421875" style="0" customWidth="1"/>
    <col min="4" max="4" width="10.28125" style="0" hidden="1" customWidth="1"/>
    <col min="5" max="5" width="0.13671875" style="0" hidden="1" customWidth="1"/>
    <col min="6" max="6" width="11.8515625" style="0" hidden="1" customWidth="1"/>
    <col min="7" max="7" width="10.8515625" style="0" hidden="1" customWidth="1"/>
    <col min="8" max="8" width="11.851562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13.57421875" style="0" customWidth="1"/>
  </cols>
  <sheetData>
    <row r="1" spans="10:12" ht="15.75">
      <c r="J1" t="s">
        <v>57</v>
      </c>
      <c r="K1" s="1"/>
      <c r="L1" s="1"/>
    </row>
    <row r="2" spans="10:12" ht="15.75">
      <c r="J2" t="s">
        <v>43</v>
      </c>
      <c r="K2" s="1"/>
      <c r="L2" s="1"/>
    </row>
    <row r="3" spans="10:12" ht="15.75">
      <c r="J3" t="s">
        <v>44</v>
      </c>
      <c r="K3" s="1"/>
      <c r="L3" s="1"/>
    </row>
    <row r="4" spans="10:12" ht="15.75">
      <c r="J4" s="61" t="s">
        <v>71</v>
      </c>
      <c r="K4" s="1"/>
      <c r="L4" s="1"/>
    </row>
    <row r="6" spans="1:12" ht="46.5" customHeight="1">
      <c r="A6" s="105" t="s">
        <v>56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ht="15" customHeight="1"/>
    <row r="8" spans="1:13" ht="15">
      <c r="A8" s="106" t="s">
        <v>1</v>
      </c>
      <c r="B8" s="106" t="s">
        <v>2</v>
      </c>
      <c r="C8" s="106" t="s">
        <v>53</v>
      </c>
      <c r="D8" s="47"/>
      <c r="E8" s="47"/>
      <c r="F8" s="99" t="s">
        <v>4</v>
      </c>
      <c r="G8" s="100"/>
      <c r="H8" s="99" t="s">
        <v>5</v>
      </c>
      <c r="I8" s="100"/>
      <c r="J8" s="99" t="s">
        <v>6</v>
      </c>
      <c r="K8" s="100"/>
      <c r="L8" s="120" t="s">
        <v>7</v>
      </c>
      <c r="M8" s="80"/>
    </row>
    <row r="9" spans="1:12" ht="15">
      <c r="A9" s="107"/>
      <c r="B9" s="107"/>
      <c r="C9" s="107"/>
      <c r="D9" s="48"/>
      <c r="E9" s="49"/>
      <c r="F9" s="101"/>
      <c r="G9" s="102"/>
      <c r="H9" s="101"/>
      <c r="I9" s="102"/>
      <c r="J9" s="101"/>
      <c r="K9" s="102"/>
      <c r="L9" s="121"/>
    </row>
    <row r="10" spans="1:12" ht="15">
      <c r="A10" s="107"/>
      <c r="B10" s="107"/>
      <c r="C10" s="107"/>
      <c r="D10" s="50"/>
      <c r="E10" s="50"/>
      <c r="F10" s="103"/>
      <c r="G10" s="104"/>
      <c r="H10" s="103"/>
      <c r="I10" s="104"/>
      <c r="J10" s="103"/>
      <c r="K10" s="104"/>
      <c r="L10" s="122"/>
    </row>
    <row r="11" spans="1:12" ht="25.5">
      <c r="A11" s="108"/>
      <c r="B11" s="108"/>
      <c r="C11" s="108"/>
      <c r="D11" s="5"/>
      <c r="E11" s="5"/>
      <c r="F11" s="5" t="s">
        <v>8</v>
      </c>
      <c r="G11" s="6" t="s">
        <v>9</v>
      </c>
      <c r="H11" s="5" t="s">
        <v>8</v>
      </c>
      <c r="I11" s="6" t="s">
        <v>9</v>
      </c>
      <c r="J11" s="5" t="s">
        <v>8</v>
      </c>
      <c r="K11" s="6" t="s">
        <v>9</v>
      </c>
      <c r="L11" s="6" t="s">
        <v>9</v>
      </c>
    </row>
    <row r="12" spans="1:12" ht="15">
      <c r="A12" s="7">
        <v>1</v>
      </c>
      <c r="B12" s="8">
        <v>2</v>
      </c>
      <c r="C12" s="9">
        <v>3</v>
      </c>
      <c r="D12" s="10">
        <v>4</v>
      </c>
      <c r="E12" s="11"/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</row>
    <row r="13" spans="1:12" ht="15">
      <c r="A13" s="13">
        <v>1</v>
      </c>
      <c r="B13" s="14" t="s">
        <v>10</v>
      </c>
      <c r="C13" s="15" t="s">
        <v>11</v>
      </c>
      <c r="D13" s="16">
        <v>22955.4</v>
      </c>
      <c r="E13" s="17"/>
      <c r="F13" s="20">
        <v>10023.772</v>
      </c>
      <c r="G13" s="20">
        <v>10023.772</v>
      </c>
      <c r="H13" s="20">
        <v>9248.692</v>
      </c>
      <c r="I13" s="20">
        <v>9248.692</v>
      </c>
      <c r="J13" s="20">
        <v>701.145</v>
      </c>
      <c r="K13" s="20">
        <v>701.145</v>
      </c>
      <c r="L13" s="21">
        <v>1</v>
      </c>
    </row>
    <row r="14" spans="1:12" ht="30">
      <c r="A14" s="22">
        <v>2</v>
      </c>
      <c r="B14" s="23" t="s">
        <v>12</v>
      </c>
      <c r="C14" s="24" t="s">
        <v>13</v>
      </c>
      <c r="D14" s="53">
        <v>34888.21</v>
      </c>
      <c r="E14" s="30">
        <v>34888.21</v>
      </c>
      <c r="F14" s="54">
        <f>'[1]в тариф на 2020-2021р'!T14</f>
        <v>366.53999999999996</v>
      </c>
      <c r="G14" s="26">
        <f>G15+G25+G31</f>
        <v>36.57</v>
      </c>
      <c r="H14" s="81">
        <v>338.19000000000005</v>
      </c>
      <c r="I14" s="26">
        <v>36.57</v>
      </c>
      <c r="J14" s="26">
        <v>25.637280000000047</v>
      </c>
      <c r="K14" s="26">
        <v>36.5687165992769</v>
      </c>
      <c r="L14" s="26">
        <v>36.57</v>
      </c>
    </row>
    <row r="15" spans="1:12" ht="26.25">
      <c r="A15" s="22">
        <v>3</v>
      </c>
      <c r="B15" s="28" t="s">
        <v>14</v>
      </c>
      <c r="C15" s="32" t="s">
        <v>13</v>
      </c>
      <c r="D15" s="16">
        <v>31185.68</v>
      </c>
      <c r="E15" s="25">
        <v>31185.68</v>
      </c>
      <c r="F15" s="54">
        <f>'[1]в тариф на 2020-2021р'!T15</f>
        <v>207.54999999999998</v>
      </c>
      <c r="G15" s="56">
        <f>G16+G21+G22+G23+G24</f>
        <v>20.71</v>
      </c>
      <c r="H15" s="21">
        <v>191.49</v>
      </c>
      <c r="I15" s="33">
        <v>20.71</v>
      </c>
      <c r="J15" s="21">
        <v>14.520000000000016</v>
      </c>
      <c r="K15" s="56">
        <v>20.711007280947594</v>
      </c>
      <c r="L15" s="33">
        <v>20.71</v>
      </c>
    </row>
    <row r="16" spans="1:12" ht="26.25">
      <c r="A16" s="22">
        <v>3.1</v>
      </c>
      <c r="B16" s="31" t="s">
        <v>15</v>
      </c>
      <c r="C16" s="32" t="s">
        <v>13</v>
      </c>
      <c r="D16" s="16">
        <v>27491.35</v>
      </c>
      <c r="E16" s="25">
        <v>27491.35</v>
      </c>
      <c r="F16" s="54">
        <f>'[1]в тариф на 2020-2021р'!T16</f>
        <v>11.95</v>
      </c>
      <c r="G16" s="56">
        <f>ROUND(F16/G13*1000,2)</f>
        <v>1.19</v>
      </c>
      <c r="H16" s="21">
        <v>11.03</v>
      </c>
      <c r="I16" s="33">
        <v>1.19</v>
      </c>
      <c r="J16" s="21">
        <v>0.8400000000000016</v>
      </c>
      <c r="K16" s="33">
        <v>1.19</v>
      </c>
      <c r="L16" s="33">
        <v>1.19</v>
      </c>
    </row>
    <row r="17" spans="1:12" ht="15">
      <c r="A17" s="22" t="s">
        <v>16</v>
      </c>
      <c r="B17" s="35" t="s">
        <v>17</v>
      </c>
      <c r="C17" s="32" t="s">
        <v>13</v>
      </c>
      <c r="D17" s="16">
        <v>25751.19</v>
      </c>
      <c r="E17" s="25">
        <v>25751.19</v>
      </c>
      <c r="F17" s="54">
        <f>'[1]в тариф на 2020-2021р'!T17</f>
        <v>0</v>
      </c>
      <c r="G17" s="56">
        <f>ROUND(F17/G13*1000,2)</f>
        <v>0</v>
      </c>
      <c r="H17" s="21">
        <v>0</v>
      </c>
      <c r="I17" s="33">
        <v>0</v>
      </c>
      <c r="J17" s="82">
        <v>0</v>
      </c>
      <c r="K17" s="54">
        <v>0</v>
      </c>
      <c r="L17" s="78">
        <v>0</v>
      </c>
    </row>
    <row r="18" spans="1:14" ht="25.5">
      <c r="A18" s="22" t="s">
        <v>18</v>
      </c>
      <c r="B18" s="36" t="s">
        <v>19</v>
      </c>
      <c r="C18" s="32" t="s">
        <v>13</v>
      </c>
      <c r="D18" s="16">
        <v>924.52</v>
      </c>
      <c r="E18" s="25">
        <v>924.52</v>
      </c>
      <c r="F18" s="54">
        <f>'[1]в тариф на 2020-2021р'!T18</f>
        <v>0</v>
      </c>
      <c r="G18" s="56">
        <f>ROUND(F18/G13*1000,2)</f>
        <v>0</v>
      </c>
      <c r="H18" s="21">
        <v>0</v>
      </c>
      <c r="I18" s="33">
        <v>0</v>
      </c>
      <c r="J18" s="82">
        <v>0</v>
      </c>
      <c r="K18" s="54">
        <v>0</v>
      </c>
      <c r="L18" s="78">
        <v>0</v>
      </c>
      <c r="N18" s="27"/>
    </row>
    <row r="19" spans="1:12" ht="15">
      <c r="A19" s="22" t="s">
        <v>20</v>
      </c>
      <c r="B19" s="36" t="s">
        <v>21</v>
      </c>
      <c r="C19" s="32" t="s">
        <v>13</v>
      </c>
      <c r="D19" s="16">
        <v>157.7</v>
      </c>
      <c r="E19" s="25">
        <v>157.7</v>
      </c>
      <c r="F19" s="54">
        <f>'[1]в тариф на 2020-2021р'!T19</f>
        <v>0</v>
      </c>
      <c r="G19" s="56">
        <f>ROUND(F19/G13*1000,2)</f>
        <v>0</v>
      </c>
      <c r="H19" s="21">
        <v>0</v>
      </c>
      <c r="I19" s="33">
        <v>0</v>
      </c>
      <c r="J19" s="82">
        <v>0</v>
      </c>
      <c r="K19" s="54">
        <v>0</v>
      </c>
      <c r="L19" s="78">
        <v>0</v>
      </c>
    </row>
    <row r="20" spans="1:12" ht="25.5">
      <c r="A20" s="22" t="s">
        <v>22</v>
      </c>
      <c r="B20" s="36" t="s">
        <v>23</v>
      </c>
      <c r="C20" s="37" t="s">
        <v>13</v>
      </c>
      <c r="D20" s="16">
        <v>657.94</v>
      </c>
      <c r="E20" s="25">
        <v>657.94</v>
      </c>
      <c r="F20" s="54">
        <f>'[1]в тариф на 2020-2021р'!T20</f>
        <v>11.95</v>
      </c>
      <c r="G20" s="56">
        <f>ROUND(F20/G13*1000,2)</f>
        <v>1.19</v>
      </c>
      <c r="H20" s="21">
        <v>11.03</v>
      </c>
      <c r="I20" s="33">
        <v>1.19</v>
      </c>
      <c r="J20" s="82">
        <v>0.8400000000000016</v>
      </c>
      <c r="K20" s="54">
        <v>1.19</v>
      </c>
      <c r="L20" s="78">
        <v>1.19</v>
      </c>
    </row>
    <row r="21" spans="1:12" ht="15">
      <c r="A21" s="22" t="s">
        <v>24</v>
      </c>
      <c r="B21" s="31" t="s">
        <v>25</v>
      </c>
      <c r="C21" s="37" t="s">
        <v>13</v>
      </c>
      <c r="D21" s="16">
        <v>2644.33</v>
      </c>
      <c r="E21" s="25">
        <v>2644.33</v>
      </c>
      <c r="F21" s="54">
        <f>'[1]в тариф на 2020-2021р'!T21</f>
        <v>128.98</v>
      </c>
      <c r="G21" s="56">
        <f>ROUND(F21/G13*1000,2)</f>
        <v>12.87</v>
      </c>
      <c r="H21" s="21">
        <v>119</v>
      </c>
      <c r="I21" s="33">
        <v>12.87</v>
      </c>
      <c r="J21" s="82">
        <v>9.02000000000001</v>
      </c>
      <c r="K21" s="54">
        <v>12.87</v>
      </c>
      <c r="L21" s="78">
        <v>12.87</v>
      </c>
    </row>
    <row r="22" spans="1:12" ht="15">
      <c r="A22" s="22" t="s">
        <v>26</v>
      </c>
      <c r="B22" s="38" t="s">
        <v>27</v>
      </c>
      <c r="C22" s="37" t="s">
        <v>13</v>
      </c>
      <c r="D22" s="16">
        <v>581.75</v>
      </c>
      <c r="E22" s="25">
        <v>581.75</v>
      </c>
      <c r="F22" s="54">
        <f>'[1]в тариф на 2020-2021р'!T22</f>
        <v>28.38</v>
      </c>
      <c r="G22" s="56">
        <f>ROUND(F22/G13*1000,2)</f>
        <v>2.83</v>
      </c>
      <c r="H22" s="21">
        <v>26.18</v>
      </c>
      <c r="I22" s="33">
        <v>2.83</v>
      </c>
      <c r="J22" s="82">
        <v>1.98</v>
      </c>
      <c r="K22" s="54">
        <v>2.8299999999999996</v>
      </c>
      <c r="L22" s="78">
        <v>2.83</v>
      </c>
    </row>
    <row r="23" spans="1:12" ht="15">
      <c r="A23" s="22" t="s">
        <v>28</v>
      </c>
      <c r="B23" s="31" t="s">
        <v>29</v>
      </c>
      <c r="C23" s="37" t="s">
        <v>13</v>
      </c>
      <c r="D23" s="16">
        <v>137.52</v>
      </c>
      <c r="E23" s="25">
        <v>137.52</v>
      </c>
      <c r="F23" s="54">
        <f>'[1]в тариф на 2020-2021р'!T23</f>
        <v>0.65</v>
      </c>
      <c r="G23" s="56">
        <f>ROUND(F23/G13*1000,2)+0.01</f>
        <v>0.06999999999999999</v>
      </c>
      <c r="H23" s="21">
        <v>0.6</v>
      </c>
      <c r="I23" s="33">
        <v>0.06999999999999999</v>
      </c>
      <c r="J23" s="82">
        <v>0.050000000000000044</v>
      </c>
      <c r="K23" s="33">
        <v>0.07</v>
      </c>
      <c r="L23" s="78">
        <v>0.07</v>
      </c>
    </row>
    <row r="24" spans="1:12" ht="15">
      <c r="A24" s="22" t="s">
        <v>30</v>
      </c>
      <c r="B24" s="31" t="s">
        <v>31</v>
      </c>
      <c r="C24" s="37" t="s">
        <v>13</v>
      </c>
      <c r="D24" s="16">
        <v>330.73</v>
      </c>
      <c r="E24" s="25">
        <v>330.73</v>
      </c>
      <c r="F24" s="54">
        <f>'[1]в тариф на 2020-2021р'!T24</f>
        <v>37.59</v>
      </c>
      <c r="G24" s="56">
        <f>ROUND(F24/G13*1000,2)</f>
        <v>3.75</v>
      </c>
      <c r="H24" s="21">
        <v>34.68</v>
      </c>
      <c r="I24" s="33">
        <v>3.75</v>
      </c>
      <c r="J24" s="82">
        <v>2.6300000000000026</v>
      </c>
      <c r="K24" s="54">
        <v>3.7510072809475967</v>
      </c>
      <c r="L24" s="78">
        <v>3.75</v>
      </c>
    </row>
    <row r="25" spans="1:12" ht="26.25">
      <c r="A25" s="83">
        <v>4</v>
      </c>
      <c r="B25" s="28" t="s">
        <v>32</v>
      </c>
      <c r="C25" s="39" t="s">
        <v>13</v>
      </c>
      <c r="D25" s="29">
        <v>2232.8</v>
      </c>
      <c r="E25" s="30">
        <v>2232.8</v>
      </c>
      <c r="F25" s="52">
        <f>'[1]в тариф на 2020-2021р'!T25</f>
        <v>71.03</v>
      </c>
      <c r="G25" s="26">
        <f>G26+G27+G28+G29+G30</f>
        <v>7.08</v>
      </c>
      <c r="H25" s="81">
        <v>65.54</v>
      </c>
      <c r="I25" s="26">
        <v>7.08</v>
      </c>
      <c r="J25" s="26">
        <v>4.963680000000012</v>
      </c>
      <c r="K25" s="26">
        <v>7.08</v>
      </c>
      <c r="L25" s="26">
        <v>7.08</v>
      </c>
    </row>
    <row r="26" spans="1:12" ht="15">
      <c r="A26" s="22">
        <v>4.1</v>
      </c>
      <c r="B26" s="31" t="s">
        <v>33</v>
      </c>
      <c r="C26" s="37" t="s">
        <v>13</v>
      </c>
      <c r="D26" s="16">
        <v>174.34</v>
      </c>
      <c r="E26" s="25">
        <v>174.34</v>
      </c>
      <c r="F26" s="54">
        <f>'[1]в тариф на 2020-2021р'!T26</f>
        <v>3.36</v>
      </c>
      <c r="G26" s="56">
        <f>ROUND(F26/10023.772*1000,2)-0.01</f>
        <v>0.33</v>
      </c>
      <c r="H26" s="21">
        <v>3.09</v>
      </c>
      <c r="I26" s="33">
        <v>0.33</v>
      </c>
      <c r="J26" s="82">
        <v>0.23840000000000083</v>
      </c>
      <c r="K26" s="54">
        <v>0.33</v>
      </c>
      <c r="L26" s="78">
        <v>0.33</v>
      </c>
    </row>
    <row r="27" spans="1:15" ht="15">
      <c r="A27" s="22">
        <v>4.2</v>
      </c>
      <c r="B27" s="31" t="s">
        <v>25</v>
      </c>
      <c r="C27" s="37" t="s">
        <v>13</v>
      </c>
      <c r="D27" s="16">
        <v>1640.52</v>
      </c>
      <c r="E27" s="25">
        <v>1640.52</v>
      </c>
      <c r="F27" s="54">
        <f>'[1]в тариф на 2020-2021р'!T27</f>
        <v>53.05</v>
      </c>
      <c r="G27" s="56">
        <f>ROUND(F27/10023.772*1000,2)</f>
        <v>5.29</v>
      </c>
      <c r="H27" s="21">
        <v>48.95</v>
      </c>
      <c r="I27" s="33">
        <v>5.29</v>
      </c>
      <c r="J27" s="82">
        <v>3.7066400000000073</v>
      </c>
      <c r="K27" s="54">
        <v>5.29</v>
      </c>
      <c r="L27" s="78">
        <v>5.29</v>
      </c>
      <c r="O27" s="84"/>
    </row>
    <row r="28" spans="1:12" ht="15">
      <c r="A28" s="22">
        <v>4.3</v>
      </c>
      <c r="B28" s="31" t="s">
        <v>34</v>
      </c>
      <c r="C28" s="37" t="s">
        <v>13</v>
      </c>
      <c r="D28" s="16">
        <v>360.91</v>
      </c>
      <c r="E28" s="25">
        <v>360.91</v>
      </c>
      <c r="F28" s="54">
        <f>'[1]в тариф на 2020-2021р'!T28</f>
        <v>11.67</v>
      </c>
      <c r="G28" s="56">
        <f>ROUND(F28/10023.772*1000,2)</f>
        <v>1.16</v>
      </c>
      <c r="H28" s="21">
        <v>10.77</v>
      </c>
      <c r="I28" s="33">
        <v>1.16</v>
      </c>
      <c r="J28" s="82">
        <v>0.8154400000000042</v>
      </c>
      <c r="K28" s="54">
        <v>1.16</v>
      </c>
      <c r="L28" s="78">
        <v>1.16</v>
      </c>
    </row>
    <row r="29" spans="1:12" ht="15">
      <c r="A29" s="22">
        <v>4.4</v>
      </c>
      <c r="B29" s="31" t="s">
        <v>29</v>
      </c>
      <c r="C29" s="37" t="s">
        <v>13</v>
      </c>
      <c r="D29" s="16">
        <v>26.96</v>
      </c>
      <c r="E29" s="25">
        <v>26.96</v>
      </c>
      <c r="F29" s="54">
        <f>'[1]в тариф на 2020-2021р'!T29</f>
        <v>2.08</v>
      </c>
      <c r="G29" s="56">
        <f>ROUND(F29/10023.772*1000,2)</f>
        <v>0.21</v>
      </c>
      <c r="H29" s="21">
        <v>1.92</v>
      </c>
      <c r="I29" s="33">
        <v>0.21</v>
      </c>
      <c r="J29" s="82">
        <v>0.14440000000000008</v>
      </c>
      <c r="K29" s="54">
        <v>0.21</v>
      </c>
      <c r="L29" s="78">
        <v>0.21</v>
      </c>
    </row>
    <row r="30" spans="1:12" ht="15">
      <c r="A30" s="22">
        <v>4.5</v>
      </c>
      <c r="B30" s="31" t="s">
        <v>35</v>
      </c>
      <c r="C30" s="37" t="s">
        <v>13</v>
      </c>
      <c r="D30" s="16">
        <v>30.07</v>
      </c>
      <c r="E30" s="25">
        <v>30.07</v>
      </c>
      <c r="F30" s="54">
        <f>'[1]в тариф на 2020-2021р'!T30</f>
        <v>0.87</v>
      </c>
      <c r="G30" s="56">
        <f>ROUND(F30/10023.772*1000,2)</f>
        <v>0.09</v>
      </c>
      <c r="H30" s="21">
        <v>0.81</v>
      </c>
      <c r="I30" s="33">
        <v>0.09</v>
      </c>
      <c r="J30" s="82">
        <v>0.05879999999999985</v>
      </c>
      <c r="K30" s="54">
        <v>0.09</v>
      </c>
      <c r="L30" s="78">
        <v>0.09</v>
      </c>
    </row>
    <row r="31" spans="1:12" ht="26.25">
      <c r="A31" s="83">
        <v>5</v>
      </c>
      <c r="B31" s="28" t="s">
        <v>36</v>
      </c>
      <c r="C31" s="39" t="s">
        <v>13</v>
      </c>
      <c r="D31" s="29">
        <v>1469.73</v>
      </c>
      <c r="E31" s="30">
        <v>1469.73</v>
      </c>
      <c r="F31" s="52">
        <f>'[1]в тариф на 2020-2021р'!T31</f>
        <v>87.96</v>
      </c>
      <c r="G31" s="26">
        <f>G32+G33+G34+G35+G36</f>
        <v>8.78</v>
      </c>
      <c r="H31" s="81">
        <v>81.16</v>
      </c>
      <c r="I31" s="26">
        <v>8.78</v>
      </c>
      <c r="J31" s="26">
        <v>6.15360000000002</v>
      </c>
      <c r="K31" s="26">
        <v>8.777709318329304</v>
      </c>
      <c r="L31" s="26">
        <v>8.78</v>
      </c>
    </row>
    <row r="32" spans="1:12" ht="15">
      <c r="A32" s="22">
        <v>5.1</v>
      </c>
      <c r="B32" s="31" t="s">
        <v>37</v>
      </c>
      <c r="C32" s="37" t="s">
        <v>13</v>
      </c>
      <c r="D32" s="16">
        <v>73.49</v>
      </c>
      <c r="E32" s="25">
        <v>73.49</v>
      </c>
      <c r="F32" s="54">
        <f>'[1]в тариф на 2020-2021р'!T32</f>
        <v>0.88</v>
      </c>
      <c r="G32" s="56">
        <f aca="true" t="shared" si="0" ref="G32:G37">ROUND(F32/10023.772*1000,2)</f>
        <v>0.09</v>
      </c>
      <c r="H32" s="21">
        <v>0.82</v>
      </c>
      <c r="I32" s="54">
        <v>0.09</v>
      </c>
      <c r="J32" s="82">
        <v>0.06099999999999994</v>
      </c>
      <c r="K32" s="54">
        <v>0.09</v>
      </c>
      <c r="L32" s="78">
        <v>0.09</v>
      </c>
    </row>
    <row r="33" spans="1:12" ht="15">
      <c r="A33" s="22">
        <v>5.2</v>
      </c>
      <c r="B33" s="31" t="s">
        <v>25</v>
      </c>
      <c r="C33" s="37" t="s">
        <v>13</v>
      </c>
      <c r="D33" s="16">
        <v>1066.27</v>
      </c>
      <c r="E33" s="25">
        <v>1066.27</v>
      </c>
      <c r="F33" s="54">
        <f>'[1]в тариф на 2020-2021р'!T33</f>
        <v>69.82</v>
      </c>
      <c r="G33" s="56">
        <f t="shared" si="0"/>
        <v>6.97</v>
      </c>
      <c r="H33" s="21">
        <v>64.42</v>
      </c>
      <c r="I33" s="33">
        <v>6.97</v>
      </c>
      <c r="J33" s="82">
        <v>4.885480000000015</v>
      </c>
      <c r="K33" s="54">
        <v>6.97</v>
      </c>
      <c r="L33" s="78">
        <v>6.97</v>
      </c>
    </row>
    <row r="34" spans="1:12" ht="15">
      <c r="A34" s="22">
        <v>5.3</v>
      </c>
      <c r="B34" s="38" t="s">
        <v>27</v>
      </c>
      <c r="C34" s="37" t="s">
        <v>13</v>
      </c>
      <c r="D34" s="16">
        <v>234.58</v>
      </c>
      <c r="E34" s="25">
        <v>234.58</v>
      </c>
      <c r="F34" s="54">
        <f>'[1]в тариф на 2020-2021р'!T34</f>
        <v>15.36</v>
      </c>
      <c r="G34" s="56">
        <f t="shared" si="0"/>
        <v>1.53</v>
      </c>
      <c r="H34" s="21">
        <v>14.17</v>
      </c>
      <c r="I34" s="33">
        <v>1.53</v>
      </c>
      <c r="J34" s="82">
        <v>1.0777200000000047</v>
      </c>
      <c r="K34" s="54">
        <v>1.53</v>
      </c>
      <c r="L34" s="78">
        <v>1.53</v>
      </c>
    </row>
    <row r="35" spans="1:12" ht="15">
      <c r="A35" s="22">
        <v>5.4</v>
      </c>
      <c r="B35" s="31" t="s">
        <v>29</v>
      </c>
      <c r="C35" s="37" t="s">
        <v>13</v>
      </c>
      <c r="D35" s="16">
        <v>2.58</v>
      </c>
      <c r="E35" s="25">
        <v>2.58</v>
      </c>
      <c r="F35" s="54">
        <f>'[1]в тариф на 2020-2021р'!T35</f>
        <v>0.09</v>
      </c>
      <c r="G35" s="56">
        <f t="shared" si="0"/>
        <v>0.01</v>
      </c>
      <c r="H35" s="21">
        <v>0.08</v>
      </c>
      <c r="I35" s="33">
        <v>0.01</v>
      </c>
      <c r="J35" s="82">
        <v>0.004800000000000013</v>
      </c>
      <c r="K35" s="54">
        <v>0.01</v>
      </c>
      <c r="L35" s="78">
        <v>0.01</v>
      </c>
    </row>
    <row r="36" spans="1:12" ht="15">
      <c r="A36" s="22">
        <v>5.5</v>
      </c>
      <c r="B36" s="31" t="s">
        <v>38</v>
      </c>
      <c r="C36" s="37" t="s">
        <v>13</v>
      </c>
      <c r="D36" s="16">
        <v>92.81</v>
      </c>
      <c r="E36" s="25">
        <v>92.81</v>
      </c>
      <c r="F36" s="54">
        <f>'[1]в тариф на 2020-2021р'!T36</f>
        <v>1.81</v>
      </c>
      <c r="G36" s="56">
        <f t="shared" si="0"/>
        <v>0.18</v>
      </c>
      <c r="H36" s="21">
        <v>1.67</v>
      </c>
      <c r="I36" s="33">
        <v>0.18</v>
      </c>
      <c r="J36" s="82">
        <v>0.12460000000000004</v>
      </c>
      <c r="K36" s="54">
        <v>0.17770931832930428</v>
      </c>
      <c r="L36" s="78">
        <v>0.18</v>
      </c>
    </row>
    <row r="37" spans="1:12" ht="15">
      <c r="A37" s="22">
        <v>6</v>
      </c>
      <c r="B37" s="31" t="s">
        <v>39</v>
      </c>
      <c r="C37" s="37" t="s">
        <v>13</v>
      </c>
      <c r="D37" s="16">
        <v>0</v>
      </c>
      <c r="E37" s="25">
        <v>0</v>
      </c>
      <c r="F37" s="54">
        <f>'[1]в тариф на 2020-2021р'!T37</f>
        <v>14.66</v>
      </c>
      <c r="G37" s="56">
        <f t="shared" si="0"/>
        <v>1.46</v>
      </c>
      <c r="H37" s="21">
        <v>13.53</v>
      </c>
      <c r="I37" s="33">
        <v>1.46</v>
      </c>
      <c r="J37" s="82">
        <v>1.03</v>
      </c>
      <c r="K37" s="54">
        <v>1.46</v>
      </c>
      <c r="L37" s="78">
        <v>1.46</v>
      </c>
    </row>
    <row r="38" spans="1:12" ht="26.25">
      <c r="A38" s="22">
        <v>7</v>
      </c>
      <c r="B38" s="31" t="s">
        <v>54</v>
      </c>
      <c r="C38" s="37" t="s">
        <v>13</v>
      </c>
      <c r="D38" s="19">
        <v>34888.21</v>
      </c>
      <c r="E38" s="25">
        <v>34888.21</v>
      </c>
      <c r="F38" s="54">
        <f>F15+F25+F31+F37</f>
        <v>381.2</v>
      </c>
      <c r="G38" s="54"/>
      <c r="H38" s="54">
        <v>351.72</v>
      </c>
      <c r="I38" s="54"/>
      <c r="J38" s="54">
        <v>26.667280000000048</v>
      </c>
      <c r="K38" s="54"/>
      <c r="L38" s="54">
        <v>38.03</v>
      </c>
    </row>
    <row r="39" spans="1:12" ht="26.25">
      <c r="A39" s="83">
        <v>8</v>
      </c>
      <c r="B39" s="28" t="s">
        <v>55</v>
      </c>
      <c r="C39" s="42" t="s">
        <v>9</v>
      </c>
      <c r="D39" s="53">
        <v>1519.8258361866926</v>
      </c>
      <c r="E39" s="29"/>
      <c r="F39" s="53"/>
      <c r="G39" s="52">
        <f>G14+G37</f>
        <v>38.03</v>
      </c>
      <c r="H39" s="81"/>
      <c r="I39" s="26">
        <v>38.03</v>
      </c>
      <c r="J39" s="77"/>
      <c r="K39" s="26">
        <v>38.0287165992769</v>
      </c>
      <c r="L39" s="26">
        <v>38.03</v>
      </c>
    </row>
    <row r="40" ht="30" customHeight="1">
      <c r="F40" s="30"/>
    </row>
    <row r="41" spans="2:12" ht="33.75" customHeight="1">
      <c r="B41" s="115" t="s">
        <v>72</v>
      </c>
      <c r="C41" s="115"/>
      <c r="F41" s="17"/>
      <c r="L41" t="s">
        <v>73</v>
      </c>
    </row>
    <row r="42" spans="2:8" ht="15.75" customHeight="1">
      <c r="B42" s="115"/>
      <c r="C42" s="115"/>
      <c r="D42" s="1"/>
      <c r="E42" s="1"/>
      <c r="F42" s="1"/>
      <c r="G42" s="1"/>
      <c r="H42" s="1"/>
    </row>
    <row r="43" ht="15"/>
    <row r="44" spans="2:12" ht="15">
      <c r="B44" s="46"/>
      <c r="C44" s="46"/>
      <c r="D44" s="46"/>
      <c r="E44" s="46"/>
      <c r="F44" s="46"/>
      <c r="G44" s="46"/>
      <c r="H44" s="46"/>
      <c r="I44" s="46"/>
      <c r="L44" s="46"/>
    </row>
    <row r="45" spans="2:12" ht="15">
      <c r="B45" s="46"/>
      <c r="C45" s="46"/>
      <c r="D45" s="46"/>
      <c r="E45" s="46"/>
      <c r="F45" s="46"/>
      <c r="G45" s="46"/>
      <c r="H45" s="46"/>
      <c r="I45" s="46"/>
      <c r="L45" s="46"/>
    </row>
  </sheetData>
  <sheetProtection/>
  <mergeCells count="10">
    <mergeCell ref="B42:C42"/>
    <mergeCell ref="B41:C41"/>
    <mergeCell ref="A6:L6"/>
    <mergeCell ref="A8:A11"/>
    <mergeCell ref="B8:B11"/>
    <mergeCell ref="C8:C11"/>
    <mergeCell ref="F8:G10"/>
    <mergeCell ref="H8:I10"/>
    <mergeCell ref="J8:K10"/>
    <mergeCell ref="L8:L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0">
      <selection activeCell="J16" sqref="J16"/>
    </sheetView>
  </sheetViews>
  <sheetFormatPr defaultColWidth="9.140625" defaultRowHeight="15"/>
  <cols>
    <col min="1" max="1" width="6.8515625" style="0" customWidth="1"/>
    <col min="2" max="2" width="37.8515625" style="0" customWidth="1"/>
    <col min="3" max="3" width="20.00390625" style="0" customWidth="1"/>
    <col min="4" max="4" width="18.140625" style="0" customWidth="1"/>
    <col min="5" max="5" width="16.00390625" style="0" customWidth="1"/>
  </cols>
  <sheetData>
    <row r="1" spans="3:4" ht="15.75">
      <c r="C1" s="1"/>
      <c r="D1" t="s">
        <v>70</v>
      </c>
    </row>
    <row r="2" spans="3:4" ht="15.75">
      <c r="C2" s="1"/>
      <c r="D2" t="s">
        <v>43</v>
      </c>
    </row>
    <row r="3" spans="3:4" ht="15.75">
      <c r="C3" s="1"/>
      <c r="D3" t="s">
        <v>44</v>
      </c>
    </row>
    <row r="4" ht="15">
      <c r="D4" s="61" t="s">
        <v>71</v>
      </c>
    </row>
    <row r="7" spans="1:5" ht="32.25" customHeight="1">
      <c r="A7" s="105" t="s">
        <v>58</v>
      </c>
      <c r="B7" s="105"/>
      <c r="C7" s="105"/>
      <c r="D7" s="105"/>
      <c r="E7" s="105"/>
    </row>
    <row r="8" spans="1:5" ht="15.75">
      <c r="A8" s="123" t="s">
        <v>59</v>
      </c>
      <c r="B8" s="123"/>
      <c r="C8" s="123"/>
      <c r="D8" s="123"/>
      <c r="E8" s="123"/>
    </row>
    <row r="10" spans="1:5" ht="114.75">
      <c r="A10" s="85" t="s">
        <v>1</v>
      </c>
      <c r="B10" s="85" t="s">
        <v>60</v>
      </c>
      <c r="C10" s="86" t="s">
        <v>61</v>
      </c>
      <c r="D10" s="86" t="s">
        <v>62</v>
      </c>
      <c r="E10" s="86" t="s">
        <v>63</v>
      </c>
    </row>
    <row r="11" spans="1:5" ht="15">
      <c r="A11" s="87">
        <v>1</v>
      </c>
      <c r="B11" s="88">
        <v>2</v>
      </c>
      <c r="C11" s="12">
        <v>4</v>
      </c>
      <c r="D11" s="12">
        <v>5</v>
      </c>
      <c r="E11" s="12">
        <v>6</v>
      </c>
    </row>
    <row r="12" spans="1:5" ht="29.25">
      <c r="A12" s="89">
        <v>1</v>
      </c>
      <c r="B12" s="90" t="s">
        <v>64</v>
      </c>
      <c r="C12" s="91">
        <v>4236.48</v>
      </c>
      <c r="D12" s="91">
        <v>5425.51</v>
      </c>
      <c r="E12" s="92">
        <v>4236.48</v>
      </c>
    </row>
    <row r="13" spans="1:10" ht="15.75">
      <c r="A13" s="89">
        <v>2</v>
      </c>
      <c r="B13" s="90" t="s">
        <v>39</v>
      </c>
      <c r="C13" s="91">
        <v>169.44</v>
      </c>
      <c r="D13" s="91">
        <v>217.02</v>
      </c>
      <c r="E13" s="92">
        <v>169.44</v>
      </c>
      <c r="H13" s="124"/>
      <c r="I13" s="124"/>
      <c r="J13" s="124"/>
    </row>
    <row r="14" spans="1:10" ht="15.75">
      <c r="A14" s="89">
        <v>3</v>
      </c>
      <c r="B14" s="90" t="s">
        <v>65</v>
      </c>
      <c r="C14" s="91">
        <f>(C12+C13)*20%</f>
        <v>881.1839999999999</v>
      </c>
      <c r="D14" s="91">
        <f>(D12+D13)*20%</f>
        <v>1128.506</v>
      </c>
      <c r="E14" s="91">
        <f>(E12+E13)*20%</f>
        <v>881.1839999999999</v>
      </c>
      <c r="H14" s="125"/>
      <c r="I14" s="125"/>
      <c r="J14" s="125"/>
    </row>
    <row r="15" spans="1:5" ht="42.75">
      <c r="A15" s="89">
        <v>4</v>
      </c>
      <c r="B15" s="93" t="s">
        <v>66</v>
      </c>
      <c r="C15" s="91">
        <f>C12+C14+C13</f>
        <v>5287.103999999999</v>
      </c>
      <c r="D15" s="91">
        <f>D12+D14+D13</f>
        <v>6771.036000000001</v>
      </c>
      <c r="E15" s="91">
        <f>E12+E14+E13</f>
        <v>5287.103999999999</v>
      </c>
    </row>
    <row r="16" spans="1:5" ht="72">
      <c r="A16" s="89">
        <v>5</v>
      </c>
      <c r="B16" s="90" t="s">
        <v>67</v>
      </c>
      <c r="C16" s="92"/>
      <c r="D16" s="92"/>
      <c r="E16" s="92"/>
    </row>
    <row r="17" spans="1:5" ht="29.25">
      <c r="A17" s="89">
        <v>6</v>
      </c>
      <c r="B17" s="90" t="s">
        <v>68</v>
      </c>
      <c r="C17" s="92">
        <v>178</v>
      </c>
      <c r="D17" s="92">
        <v>178</v>
      </c>
      <c r="E17" s="92">
        <v>178</v>
      </c>
    </row>
    <row r="18" spans="1:5" ht="72">
      <c r="A18" s="89">
        <v>7</v>
      </c>
      <c r="B18" s="90" t="s">
        <v>69</v>
      </c>
      <c r="C18" s="92"/>
      <c r="D18" s="92"/>
      <c r="E18" s="92"/>
    </row>
    <row r="19" spans="1:2" ht="15">
      <c r="A19" s="94"/>
      <c r="B19" s="95"/>
    </row>
    <row r="21" spans="2:8" ht="30">
      <c r="B21" s="45" t="s">
        <v>72</v>
      </c>
      <c r="C21" s="1"/>
      <c r="D21" s="1"/>
      <c r="E21" t="s">
        <v>73</v>
      </c>
      <c r="F21" s="1"/>
      <c r="G21" s="1"/>
      <c r="H21" s="1"/>
    </row>
    <row r="23" spans="2:9" ht="15">
      <c r="B23" s="46"/>
      <c r="C23" s="46"/>
      <c r="D23" s="46"/>
      <c r="E23" s="46"/>
      <c r="F23" s="46"/>
      <c r="G23" s="46"/>
      <c r="H23" s="46"/>
      <c r="I23" s="46"/>
    </row>
    <row r="24" spans="2:9" ht="15">
      <c r="B24" s="46"/>
      <c r="C24" s="46"/>
      <c r="D24" s="46"/>
      <c r="E24" s="46"/>
      <c r="F24" s="46"/>
      <c r="G24" s="46"/>
      <c r="H24" s="46"/>
      <c r="I24" s="46"/>
    </row>
  </sheetData>
  <sheetProtection/>
  <mergeCells count="4">
    <mergeCell ref="A7:E7"/>
    <mergeCell ref="A8:E8"/>
    <mergeCell ref="H13:J13"/>
    <mergeCell ref="H14:J14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2021-11-02T07:23:02Z</dcterms:modified>
  <cp:category/>
  <cp:version/>
  <cp:contentType/>
  <cp:contentStatus/>
</cp:coreProperties>
</file>